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<sst xmlns="http://schemas.openxmlformats.org/spreadsheetml/2006/main" count="146" uniqueCount="92">
  <si>
    <t>Spreadsheet Simulation Queueing Engine:  3 Servers, Basic Model</t>
  </si>
  <si>
    <t>Start Time</t>
  </si>
  <si>
    <t>Close Time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</si>
  <si>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</si>
  <si>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</si>
  <si>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</si>
  <si>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</si>
  <si>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</si>
  <si>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</si>
  <si>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</si>
  <si>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</si>
  <si>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</si>
  <si>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</si>
  <si>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</si>
  <si>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</si>
  <si>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</si>
  <si>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Arrival</t>
  </si>
  <si>
    <t xml:space="preserve">Server #1 </t>
  </si>
  <si>
    <t>Server #2</t>
  </si>
  <si>
    <t>Server #3</t>
  </si>
  <si>
    <t>Wait</t>
  </si>
  <si>
    <t>Total</t>
  </si>
  <si>
    <t>#</t>
  </si>
  <si>
    <t>Start</t>
  </si>
  <si>
    <t>End</t>
  </si>
  <si>
    <t>(hr:min)</t>
  </si>
  <si>
    <t>start</t>
  </si>
  <si>
    <t xml:space="preserve">Service </t>
  </si>
  <si>
    <t>Potential</t>
  </si>
  <si>
    <t xml:space="preserve">Time </t>
  </si>
  <si>
    <t>#1 Start</t>
  </si>
  <si>
    <t>#2 Start</t>
  </si>
  <si>
    <t>#3 Start</t>
  </si>
  <si>
    <t>Actual</t>
  </si>
  <si>
    <t xml:space="preserve">Next </t>
  </si>
  <si>
    <t>User Input</t>
  </si>
  <si>
    <t>Server</t>
  </si>
  <si>
    <t>(serial)</t>
  </si>
  <si>
    <t>Time of Change in Server Activity</t>
  </si>
  <si>
    <t>Server 1</t>
  </si>
  <si>
    <t>Server 2</t>
  </si>
  <si>
    <t>Server 3</t>
  </si>
  <si>
    <t>Graphical Spreadsheet Simulation of Queues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</si>
  <si>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</si>
  <si>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</si>
  <si>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</si>
  <si>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</si>
  <si>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</si>
  <si>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</si>
  <si>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</si>
  <si>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</si>
  <si>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>http://www.bus.ualberta.ca/aingolfsson/simulation/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</si>
  <si>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</si>
  <si>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</si>
  <si>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</si>
  <si>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</si>
  <si>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</si>
  <si>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same number of rows on both the Computations and Spreadsheet Worksheets!).  The queueing graphs should</t>
  </si>
  <si>
    <t>be updated automatically.</t>
  </si>
  <si>
    <t>Then run simulations using the spreadsheet simulation software of your choice.</t>
  </si>
  <si>
    <t>Updates</t>
  </si>
  <si>
    <t>The spreadsheet queueing engines or the queueing graphs may periodically be updated and improved.</t>
  </si>
  <si>
    <t xml:space="preserve">Updates can be found at 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</si>
  <si>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</si>
  <si>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</si>
  <si>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</si>
  <si>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</si>
  <si>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</si>
  <si>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</si>
  <si>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</si>
  <si>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Original programming of the spreadsheet queueing engines by Rebecca Tsang and Tom Grossman.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</si>
  <si>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</si>
  <si>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</si>
  <si>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</si>
  <si>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</si>
  <si>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</si>
  <si>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</si>
  <si>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Legalities and Copyright</t>
  </si>
  <si>
    <t>Copyright 2001, A. Ingolfsson and T.A. Grossman, Jr. All rights reserved except as described below.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</si>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</sst>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2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Continuous"/>
      <protection locked="0"/>
    </xf>
    <xf numFmtId="20" fontId="0" fillId="0" borderId="0" xfId="0" applyNumberFormat="1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20" fontId="0" fillId="0" borderId="0" xfId="0" applyNumberFormat="1" applyFont="1" applyFill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2"/>
          <c:w val="0.75975"/>
          <c:h val="0.77025"/>
        </c:manualLayout>
      </c:layout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0.3784722222222222</c:v>
                </c:pt>
                <c:pt idx="1">
                  <c:v>0.37916666666666665</c:v>
                </c:pt>
                <c:pt idx="2">
                  <c:v>0.3798611111111111</c:v>
                </c:pt>
                <c:pt idx="3">
                  <c:v>0.38055555555555554</c:v>
                </c:pt>
                <c:pt idx="4">
                  <c:v>0.38402777777777775</c:v>
                </c:pt>
                <c:pt idx="5">
                  <c:v>0.38749999999999996</c:v>
                </c:pt>
                <c:pt idx="6">
                  <c:v>0.39097222222222217</c:v>
                </c:pt>
                <c:pt idx="7">
                  <c:v>0.3916666666666666</c:v>
                </c:pt>
                <c:pt idx="8">
                  <c:v>0.39374999999999993</c:v>
                </c:pt>
                <c:pt idx="9">
                  <c:v>0.39722222222222214</c:v>
                </c:pt>
                <c:pt idx="10">
                  <c:v>0.39930555555555547</c:v>
                </c:pt>
                <c:pt idx="11">
                  <c:v>0.4027777777777777</c:v>
                </c:pt>
                <c:pt idx="12">
                  <c:v>0.4034722222222221</c:v>
                </c:pt>
                <c:pt idx="13">
                  <c:v>0.40694444444444433</c:v>
                </c:pt>
                <c:pt idx="14">
                  <c:v>0.41041666666666654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Simulation!$K$12:$K$26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0.001388888888888884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Computations!$E$12:$E$26</c:f>
              <c:numCache>
                <c:ptCount val="15"/>
                <c:pt idx="0">
                  <c:v>0.004166666666666667</c:v>
                </c:pt>
                <c:pt idx="1">
                  <c:v>0.004166666666666667</c:v>
                </c:pt>
                <c:pt idx="2">
                  <c:v>0.0020833333333333333</c:v>
                </c:pt>
                <c:pt idx="3">
                  <c:v>0.0020833333333333333</c:v>
                </c:pt>
                <c:pt idx="4">
                  <c:v>0.004166666666666667</c:v>
                </c:pt>
                <c:pt idx="5">
                  <c:v>0.004166666666666667</c:v>
                </c:pt>
                <c:pt idx="6">
                  <c:v>0.0020833333333333333</c:v>
                </c:pt>
                <c:pt idx="7">
                  <c:v>0.0020833333333333333</c:v>
                </c:pt>
                <c:pt idx="8">
                  <c:v>0.0020833333333333333</c:v>
                </c:pt>
                <c:pt idx="9">
                  <c:v>0.004166666666666667</c:v>
                </c:pt>
                <c:pt idx="10">
                  <c:v>0.00625</c:v>
                </c:pt>
                <c:pt idx="11">
                  <c:v>0.00625</c:v>
                </c:pt>
                <c:pt idx="12">
                  <c:v>0.0020833333333333333</c:v>
                </c:pt>
                <c:pt idx="13">
                  <c:v>0.00625</c:v>
                </c:pt>
                <c:pt idx="14">
                  <c:v>0.0020833333333333333</c:v>
                </c:pt>
              </c:numCache>
            </c:numRef>
          </c:val>
        </c:ser>
        <c:overlap val="100"/>
        <c:gapWidth val="0"/>
        <c:axId val="18604142"/>
        <c:axId val="33219551"/>
      </c:barChart>
      <c:catAx>
        <c:axId val="18604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19551"/>
        <c:crosses val="autoZero"/>
        <c:auto val="0"/>
        <c:lblOffset val="100"/>
        <c:noMultiLvlLbl val="0"/>
      </c:catAx>
      <c:valAx>
        <c:axId val="33219551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04142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025"/>
          <c:h val="0.831"/>
        </c:manualLayout>
      </c:layout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Computations!$M$41:$O$41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Computations!$M$40:$O$40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Computations!$M$39:$O$39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Computations!$M$38:$O$38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Computations!$M$37:$O$37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Computations!$M$36:$O$36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Computations!$M$35:$O$35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Computations!$M$34:$O$34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Computations!$M$33:$O$33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Computations!$M$32:$O$32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Computations!$M$31:$O$31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Computations!$M$30:$O$30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Computations!$M$29:$O$29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Computations!$M$28:$O$28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Computations!$M$27:$O$27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Computations!$M$26:$O$26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Computations!$M$25:$O$25</c:f>
              <c:numCache>
                <c:ptCount val="3"/>
                <c:pt idx="0">
                  <c:v>0.41249999999999987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Computations!$M$24:$O$24</c:f>
              <c:numCache>
                <c:ptCount val="3"/>
                <c:pt idx="0">
                  <c:v>0.41041666666666654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Computations!$M$23:$O$23</c:f>
              <c:numCache>
                <c:ptCount val="3"/>
                <c:pt idx="0">
                  <c:v>0.40902777777777766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Computations!$M$22:$O$22</c:f>
              <c:numCache>
                <c:ptCount val="3"/>
                <c:pt idx="0">
                  <c:v>0.4027777777777777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Computations!$M$21:$O$21</c:f>
              <c:numCache>
                <c:ptCount val="3"/>
                <c:pt idx="0">
                  <c:v>0.4013888888888888</c:v>
                </c:pt>
                <c:pt idx="1">
                  <c:v>0.4131944444444443</c:v>
                </c:pt>
                <c:pt idx="2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Computations!$M$20:$O$20</c:f>
              <c:numCache>
                <c:ptCount val="3"/>
                <c:pt idx="0">
                  <c:v>0.39722222222222214</c:v>
                </c:pt>
                <c:pt idx="1">
                  <c:v>0.40694444444444433</c:v>
                </c:pt>
                <c:pt idx="2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Computations!$M$19:$O$19</c:f>
              <c:numCache>
                <c:ptCount val="3"/>
                <c:pt idx="0">
                  <c:v>0.39583333333333326</c:v>
                </c:pt>
                <c:pt idx="1">
                  <c:v>0.40555555555555545</c:v>
                </c:pt>
                <c:pt idx="2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Computations!$M$18:$O$18</c:f>
              <c:numCache>
                <c:ptCount val="3"/>
                <c:pt idx="0">
                  <c:v>0.39374999999999993</c:v>
                </c:pt>
                <c:pt idx="1">
                  <c:v>0.39930555555555547</c:v>
                </c:pt>
                <c:pt idx="2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Computations!$M$17:$O$17</c:f>
              <c:numCache>
                <c:ptCount val="3"/>
                <c:pt idx="0">
                  <c:v>0.3930555555555555</c:v>
                </c:pt>
                <c:pt idx="1">
                  <c:v>0.39374999999999993</c:v>
                </c:pt>
                <c:pt idx="2">
                  <c:v>0.40555555555555545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Computations!$M$16:$O$16</c:f>
              <c:numCache>
                <c:ptCount val="3"/>
                <c:pt idx="0">
                  <c:v>0.39097222222222217</c:v>
                </c:pt>
                <c:pt idx="1">
                  <c:v>0.3916666666666666</c:v>
                </c:pt>
                <c:pt idx="2">
                  <c:v>0.4034722222222221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Computations!$M$15:$O$15</c:f>
              <c:numCache>
                <c:ptCount val="3"/>
                <c:pt idx="0">
                  <c:v>0.3881944444444444</c:v>
                </c:pt>
                <c:pt idx="1">
                  <c:v>0.3916666666666666</c:v>
                </c:pt>
                <c:pt idx="2">
                  <c:v>0.38402777777777775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Computations!$M$14:$O$14</c:f>
              <c:numCache>
                <c:ptCount val="3"/>
                <c:pt idx="0">
                  <c:v>0.38402777777777775</c:v>
                </c:pt>
                <c:pt idx="1">
                  <c:v>0.38749999999999996</c:v>
                </c:pt>
                <c:pt idx="2">
                  <c:v>0.3819444444444444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Computations!$M$13:$O$13</c:f>
              <c:numCache>
                <c:ptCount val="3"/>
                <c:pt idx="0">
                  <c:v>0.38263888888888886</c:v>
                </c:pt>
                <c:pt idx="1">
                  <c:v>0.3833333333333333</c:v>
                </c:pt>
                <c:pt idx="2">
                  <c:v>0.3819444444444444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Computations!$M$11:$O$11</c:f>
              <c:strCache>
                <c:ptCount val="3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</c:strCache>
            </c:strRef>
          </c:cat>
          <c:val>
            <c:numRef>
              <c:f>Computations!$M$12:$O$12</c:f>
              <c:numCache>
                <c:ptCount val="3"/>
                <c:pt idx="0">
                  <c:v>0.3784722222222222</c:v>
                </c:pt>
                <c:pt idx="1">
                  <c:v>0.37916666666666665</c:v>
                </c:pt>
                <c:pt idx="2">
                  <c:v>0.3798611111111111</c:v>
                </c:pt>
              </c:numCache>
            </c:numRef>
          </c:val>
        </c:ser>
        <c:overlap val="100"/>
        <c:axId val="30540504"/>
        <c:axId val="6429081"/>
      </c:barChart>
      <c:catAx>
        <c:axId val="30540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9081"/>
        <c:crosses val="autoZero"/>
        <c:auto val="0"/>
        <c:lblOffset val="100"/>
        <c:noMultiLvlLbl val="0"/>
      </c:catAx>
      <c:valAx>
        <c:axId val="6429081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540504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533400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76750"/>
        <a:ext cx="62388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533400</xdr:colOff>
      <xdr:row>27</xdr:row>
      <xdr:rowOff>104775</xdr:rowOff>
    </xdr:from>
    <xdr:to>
      <xdr:col>22</xdr:col>
      <xdr:colOff>123825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38875" y="4476750"/>
        <a:ext cx="6238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B2" sqref="B2"/>
    </sheetView>
  </sheetViews>
  <sheetFormatPr defaultColWidth="9.140625" defaultRowHeight="12.75"/>
  <cols>
    <col min="1" max="1" width="13.00390625" style="6" customWidth="1"/>
    <col min="2" max="3" width="8.8515625" style="6" customWidth="1"/>
    <col min="4" max="4" width="12.28125" style="6" customWidth="1"/>
    <col min="5" max="5" width="8.8515625" style="6" customWidth="1"/>
    <col min="6" max="6" width="13.00390625" style="6" customWidth="1"/>
    <col min="7" max="7" width="11.7109375" style="6" customWidth="1"/>
    <col min="8" max="8" width="11.140625" style="6" customWidth="1"/>
    <col min="9" max="9" width="12.421875" style="6" customWidth="1"/>
    <col min="10" max="16384" width="8.8515625" style="6" customWidth="1"/>
  </cols>
  <sheetData>
    <row r="1" spans="2:8" ht="19.5" customHeight="1" thickBot="1">
      <c r="B1" s="7" t="s">
        <v>0</v>
      </c>
      <c r="C1" s="8"/>
      <c r="D1" s="9"/>
      <c r="E1" s="9"/>
      <c r="F1" s="9"/>
      <c r="G1" s="9"/>
      <c r="H1" s="43"/>
    </row>
    <row r="2" spans="1:7" ht="12.75">
      <c r="A2" s="10"/>
      <c r="B2" s="10"/>
      <c r="C2" s="10"/>
      <c r="D2" s="11"/>
      <c r="E2" s="11"/>
      <c r="F2" s="11"/>
      <c r="G2" s="11"/>
    </row>
    <row r="3" spans="1:7" ht="13.5" thickBot="1">
      <c r="A3" s="12" t="s">
        <v>1</v>
      </c>
      <c r="B3" s="10"/>
      <c r="C3" s="12" t="s">
        <v>2</v>
      </c>
      <c r="E3" s="13"/>
      <c r="F3" s="12"/>
      <c r="G3" s="11"/>
    </row>
    <row r="4" spans="1:6" ht="13.5" thickBot="1">
      <c r="A4" s="14">
        <v>0.375</v>
      </c>
      <c r="B4" s="10"/>
      <c r="C4" s="14">
        <v>0.4166666666666667</v>
      </c>
      <c r="E4" s="15"/>
      <c r="F4" s="16"/>
    </row>
    <row r="7" spans="1:9" ht="15.75" thickBot="1">
      <c r="A7" s="17" t="s">
        <v>3</v>
      </c>
      <c r="B7" s="18"/>
      <c r="C7" s="19"/>
      <c r="D7" s="19"/>
      <c r="E7" s="19"/>
      <c r="F7" s="17" t="s">
        <v>4</v>
      </c>
      <c r="G7" s="19"/>
      <c r="H7" s="19"/>
      <c r="I7" s="19"/>
    </row>
    <row r="8" spans="1:9" ht="12.75">
      <c r="A8" s="20"/>
      <c r="B8" s="21" t="s">
        <v>5</v>
      </c>
      <c r="C8" s="21" t="s">
        <v>6</v>
      </c>
      <c r="D8" s="22" t="s">
        <v>7</v>
      </c>
      <c r="E8" s="19"/>
      <c r="F8" s="20"/>
      <c r="G8" s="21" t="s">
        <v>8</v>
      </c>
      <c r="H8" s="21" t="s">
        <v>9</v>
      </c>
      <c r="I8" s="22" t="s">
        <v>10</v>
      </c>
    </row>
    <row r="9" spans="1:9" ht="12.75">
      <c r="A9" s="23" t="s">
        <v>11</v>
      </c>
      <c r="B9" s="24" t="s">
        <v>12</v>
      </c>
      <c r="C9" s="24" t="s">
        <v>12</v>
      </c>
      <c r="D9" s="25" t="s">
        <v>13</v>
      </c>
      <c r="E9" s="19"/>
      <c r="F9" s="23" t="s">
        <v>11</v>
      </c>
      <c r="G9" s="24" t="s">
        <v>12</v>
      </c>
      <c r="H9" s="24" t="s">
        <v>12</v>
      </c>
      <c r="I9" s="25" t="s">
        <v>13</v>
      </c>
    </row>
    <row r="10" spans="1:9" ht="13.5" thickBot="1">
      <c r="A10" s="26"/>
      <c r="B10" s="27"/>
      <c r="C10" s="27"/>
      <c r="D10" s="28" t="s">
        <v>14</v>
      </c>
      <c r="E10" s="19"/>
      <c r="F10" s="29"/>
      <c r="G10" s="27"/>
      <c r="H10" s="27"/>
      <c r="I10" s="28" t="s">
        <v>14</v>
      </c>
    </row>
    <row r="11" spans="1:9" ht="12.75">
      <c r="A11" s="30">
        <v>0.45</v>
      </c>
      <c r="B11" s="31">
        <v>0</v>
      </c>
      <c r="C11" s="41">
        <f>B11+A11</f>
        <v>0.45</v>
      </c>
      <c r="D11" s="32">
        <v>1</v>
      </c>
      <c r="E11" s="19"/>
      <c r="F11" s="30">
        <v>0.3</v>
      </c>
      <c r="G11" s="31">
        <v>0</v>
      </c>
      <c r="H11" s="41">
        <f>G11+F11</f>
        <v>0.3</v>
      </c>
      <c r="I11" s="32">
        <v>3</v>
      </c>
    </row>
    <row r="12" spans="1:9" ht="12.75">
      <c r="A12" s="30">
        <v>0.25</v>
      </c>
      <c r="B12" s="31">
        <f>C11</f>
        <v>0.45</v>
      </c>
      <c r="C12" s="41">
        <f>B12+A12</f>
        <v>0.7</v>
      </c>
      <c r="D12" s="32">
        <v>3</v>
      </c>
      <c r="E12" s="19"/>
      <c r="F12" s="30">
        <v>0.35</v>
      </c>
      <c r="G12" s="31">
        <f>H11</f>
        <v>0.3</v>
      </c>
      <c r="H12" s="41">
        <f>G12+F12</f>
        <v>0.6499999999999999</v>
      </c>
      <c r="I12" s="32">
        <v>6</v>
      </c>
    </row>
    <row r="13" spans="1:9" ht="13.5" thickBot="1">
      <c r="A13" s="30">
        <v>0.1</v>
      </c>
      <c r="B13" s="31">
        <f>C12</f>
        <v>0.7</v>
      </c>
      <c r="C13" s="41">
        <f>B13+A13</f>
        <v>0.7999999999999999</v>
      </c>
      <c r="D13" s="32">
        <v>5</v>
      </c>
      <c r="E13" s="19"/>
      <c r="F13" s="33">
        <v>0.35</v>
      </c>
      <c r="G13" s="34">
        <f>H12</f>
        <v>0.6499999999999999</v>
      </c>
      <c r="H13" s="42">
        <f>G13+F13</f>
        <v>0.9999999999999999</v>
      </c>
      <c r="I13" s="35">
        <v>9</v>
      </c>
    </row>
    <row r="14" spans="1:9" ht="13.5" thickBot="1">
      <c r="A14" s="33">
        <v>0.2</v>
      </c>
      <c r="B14" s="34">
        <f>C13</f>
        <v>0.7999999999999999</v>
      </c>
      <c r="C14" s="42">
        <f>B14+A14</f>
        <v>1</v>
      </c>
      <c r="D14" s="35">
        <v>10</v>
      </c>
      <c r="E14" s="19"/>
      <c r="F14" s="36"/>
      <c r="G14" s="36"/>
      <c r="H14" s="36"/>
      <c r="I14" s="36"/>
    </row>
    <row r="15" spans="1:9" ht="12.75">
      <c r="A15" s="36"/>
      <c r="B15" s="36"/>
      <c r="C15" s="37"/>
      <c r="D15" s="36"/>
      <c r="E15" s="19"/>
      <c r="F15" s="36"/>
      <c r="G15" s="36"/>
      <c r="H15" s="36"/>
      <c r="I15" s="36"/>
    </row>
    <row r="16" spans="1:9" ht="12.75">
      <c r="A16" s="36"/>
      <c r="B16" s="36"/>
      <c r="C16" s="37"/>
      <c r="D16" s="36"/>
      <c r="E16" s="19"/>
      <c r="F16" s="36"/>
      <c r="G16" s="36"/>
      <c r="H16" s="36"/>
      <c r="I16" s="36"/>
    </row>
    <row r="17" spans="1:9" ht="12.75">
      <c r="A17" s="36"/>
      <c r="B17" s="36"/>
      <c r="C17" s="37"/>
      <c r="D17" s="36"/>
      <c r="E17" s="19"/>
      <c r="F17" s="36"/>
      <c r="G17" s="36"/>
      <c r="H17" s="36"/>
      <c r="I17" s="36"/>
    </row>
    <row r="18" spans="1:9" ht="12.75">
      <c r="A18" s="36"/>
      <c r="B18" s="36"/>
      <c r="C18" s="37"/>
      <c r="D18" s="36"/>
      <c r="E18" s="19"/>
      <c r="F18" s="36"/>
      <c r="G18" s="36"/>
      <c r="H18" s="36"/>
      <c r="I18" s="36"/>
    </row>
    <row r="19" spans="1:9" ht="12.75">
      <c r="A19" s="36"/>
      <c r="B19" s="36"/>
      <c r="C19" s="37"/>
      <c r="D19" s="36"/>
      <c r="E19" s="19"/>
      <c r="F19" s="36"/>
      <c r="G19" s="36"/>
      <c r="H19" s="36"/>
      <c r="I19" s="36"/>
    </row>
    <row r="20" spans="1:9" ht="12.75">
      <c r="A20" s="36"/>
      <c r="B20" s="36"/>
      <c r="C20" s="37"/>
      <c r="D20" s="36"/>
      <c r="F20" s="36"/>
      <c r="G20" s="36"/>
      <c r="H20" s="36"/>
      <c r="I20" s="36"/>
    </row>
    <row r="21" spans="1:5" ht="12.75">
      <c r="A21" s="38"/>
      <c r="B21" s="38"/>
      <c r="E21" s="39"/>
    </row>
    <row r="22" spans="1:7" ht="12.75">
      <c r="A22" s="38"/>
      <c r="B22" s="38"/>
      <c r="E22" s="39"/>
      <c r="G22" s="40"/>
    </row>
    <row r="23" spans="1:2" ht="12.75">
      <c r="A23" s="38"/>
      <c r="B23" s="38"/>
    </row>
    <row r="24" spans="1:2" ht="12.75">
      <c r="A24" s="38"/>
      <c r="B24" s="38"/>
    </row>
    <row r="25" spans="1:2" ht="12.75">
      <c r="A25" s="38"/>
      <c r="B25" s="38"/>
    </row>
    <row r="26" spans="1:2" ht="12.75">
      <c r="A26" s="38"/>
      <c r="B26" s="3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5"/>
  <sheetViews>
    <sheetView tabSelected="1" zoomScale="75" zoomScaleNormal="75" workbookViewId="0" topLeftCell="A7">
      <selection activeCell="B27" sqref="B27"/>
    </sheetView>
  </sheetViews>
  <sheetFormatPr defaultColWidth="9.140625" defaultRowHeight="12.75" customHeight="1"/>
  <cols>
    <col min="1" max="1" width="6.7109375" style="19" customWidth="1"/>
    <col min="2" max="2" width="11.57421875" style="19" customWidth="1"/>
    <col min="3" max="3" width="8.421875" style="19" customWidth="1"/>
    <col min="4" max="4" width="8.28125" style="19" customWidth="1"/>
    <col min="5" max="10" width="8.421875" style="44" customWidth="1"/>
    <col min="11" max="12" width="8.421875" style="19" customWidth="1"/>
    <col min="13" max="13" width="9.421875" style="19" customWidth="1"/>
    <col min="14" max="14" width="7.421875" style="19" customWidth="1"/>
    <col min="15" max="19" width="7.7109375" style="19" customWidth="1"/>
    <col min="20" max="20" width="9.140625" style="57" customWidth="1"/>
    <col min="21" max="21" width="9.140625" style="44" customWidth="1"/>
    <col min="22" max="16384" width="9.140625" style="19" customWidth="1"/>
  </cols>
  <sheetData>
    <row r="1" spans="20:21" ht="12.75" customHeight="1">
      <c r="T1" s="19"/>
      <c r="U1" s="19"/>
    </row>
    <row r="2" spans="20:21" ht="12.75" customHeight="1">
      <c r="T2" s="19"/>
      <c r="U2" s="19"/>
    </row>
    <row r="3" spans="3:21" ht="12.75" customHeight="1">
      <c r="C3" s="45"/>
      <c r="E3" s="19"/>
      <c r="F3" s="19"/>
      <c r="G3" s="45"/>
      <c r="T3" s="19"/>
      <c r="U3" s="19"/>
    </row>
    <row r="4" spans="3:21" ht="12.75" customHeight="1">
      <c r="C4" s="45"/>
      <c r="T4" s="19"/>
      <c r="U4" s="19"/>
    </row>
    <row r="7" spans="1:12" s="48" customFormat="1" ht="12.75" customHeight="1">
      <c r="A7" s="46" t="s">
        <v>15</v>
      </c>
      <c r="B7" s="46" t="s">
        <v>7</v>
      </c>
      <c r="C7" s="46" t="s">
        <v>16</v>
      </c>
      <c r="D7" s="46" t="s">
        <v>10</v>
      </c>
      <c r="E7" s="47" t="s">
        <v>17</v>
      </c>
      <c r="F7" s="47"/>
      <c r="G7" s="47" t="s">
        <v>18</v>
      </c>
      <c r="H7" s="47"/>
      <c r="I7" s="47" t="s">
        <v>19</v>
      </c>
      <c r="J7" s="47"/>
      <c r="K7" s="46" t="s">
        <v>20</v>
      </c>
      <c r="L7" s="46" t="s">
        <v>21</v>
      </c>
    </row>
    <row r="8" spans="1:12" s="48" customFormat="1" ht="12.75" customHeight="1">
      <c r="A8" s="49" t="s">
        <v>22</v>
      </c>
      <c r="B8" s="46" t="s">
        <v>13</v>
      </c>
      <c r="C8" s="46" t="s">
        <v>13</v>
      </c>
      <c r="D8" s="46" t="s">
        <v>13</v>
      </c>
      <c r="E8" s="46" t="s">
        <v>23</v>
      </c>
      <c r="F8" s="46" t="s">
        <v>24</v>
      </c>
      <c r="G8" s="46" t="s">
        <v>23</v>
      </c>
      <c r="H8" s="46" t="s">
        <v>24</v>
      </c>
      <c r="I8" s="46" t="s">
        <v>23</v>
      </c>
      <c r="J8" s="46" t="s">
        <v>24</v>
      </c>
      <c r="K8" s="46" t="s">
        <v>13</v>
      </c>
      <c r="L8" s="46" t="s">
        <v>13</v>
      </c>
    </row>
    <row r="9" spans="1:12" s="48" customFormat="1" ht="12.75" customHeight="1" thickBot="1">
      <c r="A9" s="50"/>
      <c r="B9" s="51" t="s">
        <v>14</v>
      </c>
      <c r="C9" s="51" t="s">
        <v>25</v>
      </c>
      <c r="D9" s="51" t="s">
        <v>14</v>
      </c>
      <c r="E9" s="52" t="s">
        <v>25</v>
      </c>
      <c r="F9" s="52" t="s">
        <v>25</v>
      </c>
      <c r="G9" s="52" t="s">
        <v>25</v>
      </c>
      <c r="H9" s="52" t="s">
        <v>25</v>
      </c>
      <c r="I9" s="52" t="s">
        <v>25</v>
      </c>
      <c r="J9" s="52" t="s">
        <v>25</v>
      </c>
      <c r="K9" s="52" t="s">
        <v>25</v>
      </c>
      <c r="L9" s="52" t="s">
        <v>25</v>
      </c>
    </row>
    <row r="10" spans="5:10" s="48" customFormat="1" ht="12.75" customHeight="1">
      <c r="E10" s="53"/>
      <c r="F10" s="53"/>
      <c r="G10" s="53"/>
      <c r="H10" s="53"/>
      <c r="I10" s="53"/>
      <c r="J10" s="53"/>
    </row>
    <row r="11" spans="1:12" s="48" customFormat="1" ht="12.75" customHeight="1">
      <c r="A11" s="54" t="s">
        <v>26</v>
      </c>
      <c r="B11" s="54"/>
      <c r="C11" s="55">
        <f>Computations!F11</f>
        <v>0.375</v>
      </c>
      <c r="D11" s="54"/>
      <c r="E11" s="55"/>
      <c r="F11" s="55"/>
      <c r="G11" s="55"/>
      <c r="H11" s="55"/>
      <c r="I11" s="55"/>
      <c r="J11" s="55"/>
      <c r="K11" s="54"/>
      <c r="L11" s="54"/>
    </row>
    <row r="12" spans="1:12" s="48" customFormat="1" ht="12.75" customHeight="1">
      <c r="A12" s="54">
        <f>Computations!A12</f>
        <v>1</v>
      </c>
      <c r="B12" s="56">
        <f>IF(ISTEXT(C12),"",Computations!B12)</f>
        <v>5</v>
      </c>
      <c r="C12" s="55">
        <f>IF(Computations!F12="closed",Computations!F11+Computations!C12,Computations!F12)</f>
        <v>0.3784722222222222</v>
      </c>
      <c r="D12" s="56">
        <f>IF(ISTEXT(A12),"",Computations!D12)</f>
        <v>6</v>
      </c>
      <c r="E12" s="55">
        <f>IF(Computations!$K12=1,Computations!J12,"")</f>
        <v>0.3784722222222222</v>
      </c>
      <c r="F12" s="55">
        <f>IF(ISTEXT($E12),"",E12+Computations!$E12)</f>
        <v>0.38263888888888886</v>
      </c>
      <c r="G12" s="55">
        <f>IF(Computations!$K12=2,Computations!J12,"")</f>
      </c>
      <c r="H12" s="55">
        <f>IF(ISTEXT($G12),"",$G12+Computations!$E12)</f>
      </c>
      <c r="I12" s="55">
        <f>IF(Computations!$K12=3,Computations!J12,"")</f>
      </c>
      <c r="J12" s="55">
        <f>IF(ISTEXT($I12),"",$I12+Computations!$E12)</f>
      </c>
      <c r="K12" s="55">
        <f>IF(ISTEXT($A12),"",Computations!J12-Computations!$F12)</f>
        <v>0</v>
      </c>
      <c r="L12" s="55">
        <f>IF(ISTEXT(A12),"",$K12+Computations!$E12)</f>
        <v>0.004166666666666667</v>
      </c>
    </row>
    <row r="13" spans="1:12" s="48" customFormat="1" ht="12.75" customHeight="1">
      <c r="A13" s="54">
        <f>Computations!A13</f>
        <v>2</v>
      </c>
      <c r="B13" s="56">
        <f>IF(ISTEXT(C13),"",Computations!B13)</f>
        <v>1</v>
      </c>
      <c r="C13" s="55">
        <f>IF(Computations!F13="closed",Computations!F12+Computations!C13,Computations!F13)</f>
        <v>0.37916666666666665</v>
      </c>
      <c r="D13" s="56">
        <f>IF(ISTEXT(A13),"",Computations!D13)</f>
        <v>6</v>
      </c>
      <c r="E13" s="55">
        <f>IF(Computations!$K13=1,Computations!J13,"")</f>
      </c>
      <c r="F13" s="55">
        <f>IF(ISTEXT($E13),"",E13+Computations!$E13)</f>
      </c>
      <c r="G13" s="55">
        <f>IF(Computations!$K13=2,Computations!J13,"")</f>
        <v>0.37916666666666665</v>
      </c>
      <c r="H13" s="55">
        <f>IF(ISTEXT($G13),"",$G13+Computations!$E13)</f>
        <v>0.3833333333333333</v>
      </c>
      <c r="I13" s="55">
        <f>IF(Computations!$K13=3,Computations!J13,"")</f>
      </c>
      <c r="J13" s="55">
        <f>IF(ISTEXT($I13),"",$I13+Computations!$E13)</f>
      </c>
      <c r="K13" s="55">
        <f>IF(ISTEXT($A13),"",Computations!J13-Computations!$F13)</f>
        <v>0</v>
      </c>
      <c r="L13" s="55">
        <f>IF(ISTEXT(A13),"",$K13+Computations!$E13)</f>
        <v>0.004166666666666667</v>
      </c>
    </row>
    <row r="14" spans="1:12" s="48" customFormat="1" ht="12.75" customHeight="1">
      <c r="A14" s="54">
        <f>Computations!A14</f>
        <v>3</v>
      </c>
      <c r="B14" s="56">
        <f>IF(ISTEXT(C14),"",Computations!B14)</f>
        <v>1</v>
      </c>
      <c r="C14" s="55">
        <f>IF(Computations!F14="closed",Computations!F13+Computations!C14,Computations!F14)</f>
        <v>0.3798611111111111</v>
      </c>
      <c r="D14" s="56">
        <f>IF(ISTEXT(A14),"",Computations!D14)</f>
        <v>3</v>
      </c>
      <c r="E14" s="55">
        <f>IF(Computations!$K14=1,Computations!J14,"")</f>
      </c>
      <c r="F14" s="55">
        <f>IF(ISTEXT($E14),"",E14+Computations!$E14)</f>
      </c>
      <c r="G14" s="55">
        <f>IF(Computations!$K14=2,Computations!J14,"")</f>
      </c>
      <c r="H14" s="55">
        <f>IF(ISTEXT($G14),"",$G14+Computations!$E14)</f>
      </c>
      <c r="I14" s="55">
        <f>IF(Computations!$K14=3,Computations!J14,"")</f>
        <v>0.3798611111111111</v>
      </c>
      <c r="J14" s="55">
        <f>IF(ISTEXT($I14),"",$I14+Computations!$E14)</f>
        <v>0.3819444444444444</v>
      </c>
      <c r="K14" s="55">
        <f>IF(ISTEXT($A14),"",Computations!J14-Computations!$F14)</f>
        <v>0</v>
      </c>
      <c r="L14" s="55">
        <f>IF(ISTEXT(A14),"",$K14+Computations!$E14)</f>
        <v>0.0020833333333333333</v>
      </c>
    </row>
    <row r="15" spans="1:12" s="48" customFormat="1" ht="12.75" customHeight="1">
      <c r="A15" s="54">
        <f>Computations!A15</f>
        <v>4</v>
      </c>
      <c r="B15" s="56">
        <f>IF(ISTEXT(C15),"",Computations!B15)</f>
        <v>1</v>
      </c>
      <c r="C15" s="55">
        <f>IF(Computations!F15="closed",Computations!F14+Computations!C15,Computations!F15)</f>
        <v>0.38055555555555554</v>
      </c>
      <c r="D15" s="56">
        <f>IF(ISTEXT(A15),"",Computations!D15)</f>
        <v>3</v>
      </c>
      <c r="E15" s="55">
        <f>IF(Computations!$K15=1,Computations!J15,"")</f>
      </c>
      <c r="F15" s="55">
        <f>IF(ISTEXT($E15),"",E15+Computations!$E15)</f>
      </c>
      <c r="G15" s="55">
        <f>IF(Computations!$K15=2,Computations!J15,"")</f>
      </c>
      <c r="H15" s="55">
        <f>IF(ISTEXT($G15),"",$G15+Computations!$E15)</f>
      </c>
      <c r="I15" s="55">
        <f>IF(Computations!$K15=3,Computations!J15,"")</f>
        <v>0.3819444444444444</v>
      </c>
      <c r="J15" s="55">
        <f>IF(ISTEXT($I15),"",$I15+Computations!$E15)</f>
        <v>0.38402777777777775</v>
      </c>
      <c r="K15" s="55">
        <f>IF(ISTEXT($A15),"",Computations!J15-Computations!$F15)</f>
        <v>0.001388888888888884</v>
      </c>
      <c r="L15" s="55">
        <f>IF(ISTEXT(A15),"",$K15+Computations!$E15)</f>
        <v>0.0034722222222222173</v>
      </c>
    </row>
    <row r="16" spans="1:12" s="48" customFormat="1" ht="12.75" customHeight="1">
      <c r="A16" s="54">
        <f>Computations!A16</f>
        <v>5</v>
      </c>
      <c r="B16" s="56">
        <f>IF(ISTEXT(C16),"",Computations!B16)</f>
        <v>5</v>
      </c>
      <c r="C16" s="55">
        <f>IF(Computations!F16="closed",Computations!F15+Computations!C16,Computations!F16)</f>
        <v>0.38402777777777775</v>
      </c>
      <c r="D16" s="56">
        <f>IF(ISTEXT(A16),"",Computations!D16)</f>
        <v>6</v>
      </c>
      <c r="E16" s="55">
        <f>IF(Computations!$K16=1,Computations!J16,"")</f>
        <v>0.38402777777777775</v>
      </c>
      <c r="F16" s="55">
        <f>IF(ISTEXT($E16),"",E16+Computations!$E16)</f>
        <v>0.3881944444444444</v>
      </c>
      <c r="G16" s="55">
        <f>IF(Computations!$K16=2,Computations!J16,"")</f>
      </c>
      <c r="H16" s="55">
        <f>IF(ISTEXT($G16),"",$G16+Computations!$E16)</f>
      </c>
      <c r="I16" s="55">
        <f>IF(Computations!$K16=3,Computations!J16,"")</f>
      </c>
      <c r="J16" s="55">
        <f>IF(ISTEXT($I16),"",$I16+Computations!$E16)</f>
      </c>
      <c r="K16" s="55">
        <f>IF(ISTEXT($A16),"",Computations!J16-Computations!$F16)</f>
        <v>0</v>
      </c>
      <c r="L16" s="55">
        <f>IF(ISTEXT(A16),"",$K16+Computations!$E16)</f>
        <v>0.004166666666666667</v>
      </c>
    </row>
    <row r="17" spans="1:12" s="48" customFormat="1" ht="12.75" customHeight="1">
      <c r="A17" s="54">
        <f>Computations!A17</f>
        <v>6</v>
      </c>
      <c r="B17" s="56">
        <f>IF(ISTEXT(C17),"",Computations!B17)</f>
        <v>5</v>
      </c>
      <c r="C17" s="55">
        <f>IF(Computations!F17="closed",Computations!F16+Computations!C17,Computations!F17)</f>
        <v>0.38749999999999996</v>
      </c>
      <c r="D17" s="56">
        <f>IF(ISTEXT(A17),"",Computations!D17)</f>
        <v>6</v>
      </c>
      <c r="E17" s="55">
        <f>IF(Computations!$K17=1,Computations!J17,"")</f>
      </c>
      <c r="F17" s="55">
        <f>IF(ISTEXT($E17),"",E17+Computations!$E17)</f>
      </c>
      <c r="G17" s="55">
        <f>IF(Computations!$K17=2,Computations!J17,"")</f>
        <v>0.38749999999999996</v>
      </c>
      <c r="H17" s="55">
        <f>IF(ISTEXT($G17),"",$G17+Computations!$E17)</f>
        <v>0.3916666666666666</v>
      </c>
      <c r="I17" s="55">
        <f>IF(Computations!$K17=3,Computations!J17,"")</f>
      </c>
      <c r="J17" s="55">
        <f>IF(ISTEXT($I17),"",$I17+Computations!$E17)</f>
      </c>
      <c r="K17" s="55">
        <f>IF(ISTEXT($A17),"",Computations!J17-Computations!$F17)</f>
        <v>0</v>
      </c>
      <c r="L17" s="55">
        <f>IF(ISTEXT(A17),"",$K17+Computations!$E17)</f>
        <v>0.004166666666666667</v>
      </c>
    </row>
    <row r="18" spans="1:12" s="48" customFormat="1" ht="12.75" customHeight="1">
      <c r="A18" s="54">
        <f>Computations!A18</f>
        <v>7</v>
      </c>
      <c r="B18" s="56">
        <f>IF(ISTEXT(C18),"",Computations!B18)</f>
        <v>5</v>
      </c>
      <c r="C18" s="55">
        <f>IF(Computations!F18="closed",Computations!F17+Computations!C18,Computations!F18)</f>
        <v>0.39097222222222217</v>
      </c>
      <c r="D18" s="56">
        <f>IF(ISTEXT(A18),"",Computations!D18)</f>
        <v>3</v>
      </c>
      <c r="E18" s="55">
        <f>IF(Computations!$K18=1,Computations!J18,"")</f>
        <v>0.39097222222222217</v>
      </c>
      <c r="F18" s="55">
        <f>IF(ISTEXT($E18),"",E18+Computations!$E18)</f>
        <v>0.3930555555555555</v>
      </c>
      <c r="G18" s="55">
        <f>IF(Computations!$K18=2,Computations!J18,"")</f>
      </c>
      <c r="H18" s="55">
        <f>IF(ISTEXT($G18),"",$G18+Computations!$E18)</f>
      </c>
      <c r="I18" s="55">
        <f>IF(Computations!$K18=3,Computations!J18,"")</f>
      </c>
      <c r="J18" s="55">
        <f>IF(ISTEXT($I18),"",$I18+Computations!$E18)</f>
      </c>
      <c r="K18" s="55">
        <f>IF(ISTEXT($A18),"",Computations!J18-Computations!$F18)</f>
        <v>0</v>
      </c>
      <c r="L18" s="55">
        <f>IF(ISTEXT(A18),"",$K18+Computations!$E18)</f>
        <v>0.0020833333333333333</v>
      </c>
    </row>
    <row r="19" spans="1:12" s="48" customFormat="1" ht="12.75" customHeight="1">
      <c r="A19" s="54">
        <f>Computations!A19</f>
        <v>8</v>
      </c>
      <c r="B19" s="56">
        <f>IF(ISTEXT(C19),"",Computations!B19)</f>
        <v>1</v>
      </c>
      <c r="C19" s="55">
        <f>IF(Computations!F19="closed",Computations!F18+Computations!C19,Computations!F19)</f>
        <v>0.3916666666666666</v>
      </c>
      <c r="D19" s="56">
        <f>IF(ISTEXT(A19),"",Computations!D19)</f>
        <v>3</v>
      </c>
      <c r="E19" s="55">
        <f>IF(Computations!$K19=1,Computations!J19,"")</f>
      </c>
      <c r="F19" s="55">
        <f>IF(ISTEXT($E19),"",E19+Computations!$E19)</f>
      </c>
      <c r="G19" s="55">
        <f>IF(Computations!$K19=2,Computations!J19,"")</f>
        <v>0.3916666666666666</v>
      </c>
      <c r="H19" s="55">
        <f>IF(ISTEXT($G19),"",$G19+Computations!$E19)</f>
        <v>0.39374999999999993</v>
      </c>
      <c r="I19" s="55">
        <f>IF(Computations!$K19=3,Computations!J19,"")</f>
      </c>
      <c r="J19" s="55">
        <f>IF(ISTEXT($I19),"",$I19+Computations!$E19)</f>
      </c>
      <c r="K19" s="55">
        <f>IF(ISTEXT($A19),"",Computations!J19-Computations!$F19)</f>
        <v>0</v>
      </c>
      <c r="L19" s="55">
        <f>IF(ISTEXT(A19),"",$K19+Computations!$E19)</f>
        <v>0.0020833333333333333</v>
      </c>
    </row>
    <row r="20" spans="1:12" s="48" customFormat="1" ht="12.75" customHeight="1">
      <c r="A20" s="54">
        <f>Computations!A20</f>
        <v>9</v>
      </c>
      <c r="B20" s="56">
        <f>IF(ISTEXT(C20),"",Computations!B20)</f>
        <v>3</v>
      </c>
      <c r="C20" s="55">
        <f>IF(Computations!F20="closed",Computations!F19+Computations!C20,Computations!F20)</f>
        <v>0.39374999999999993</v>
      </c>
      <c r="D20" s="56">
        <f>IF(ISTEXT(A20),"",Computations!D20)</f>
        <v>3</v>
      </c>
      <c r="E20" s="55">
        <f>IF(Computations!$K20=1,Computations!J20,"")</f>
        <v>0.39374999999999993</v>
      </c>
      <c r="F20" s="55">
        <f>IF(ISTEXT($E20),"",E20+Computations!$E20)</f>
        <v>0.39583333333333326</v>
      </c>
      <c r="G20" s="55">
        <f>IF(Computations!$K20=2,Computations!J20,"")</f>
      </c>
      <c r="H20" s="55">
        <f>IF(ISTEXT($G20),"",$G20+Computations!$E20)</f>
      </c>
      <c r="I20" s="55">
        <f>IF(Computations!$K20=3,Computations!J20,"")</f>
      </c>
      <c r="J20" s="55">
        <f>IF(ISTEXT($I20),"",$I20+Computations!$E20)</f>
      </c>
      <c r="K20" s="55">
        <f>IF(ISTEXT($A20),"",Computations!J20-Computations!$F20)</f>
        <v>0</v>
      </c>
      <c r="L20" s="55">
        <f>IF(ISTEXT(A20),"",$K20+Computations!$E20)</f>
        <v>0.0020833333333333333</v>
      </c>
    </row>
    <row r="21" spans="1:12" s="48" customFormat="1" ht="12.75" customHeight="1">
      <c r="A21" s="54">
        <f>Computations!A21</f>
        <v>10</v>
      </c>
      <c r="B21" s="56">
        <f>IF(ISTEXT(C21),"",Computations!B21)</f>
        <v>5</v>
      </c>
      <c r="C21" s="55">
        <f>IF(Computations!F21="closed",Computations!F20+Computations!C21,Computations!F21)</f>
        <v>0.39722222222222214</v>
      </c>
      <c r="D21" s="56">
        <f>IF(ISTEXT(A21),"",Computations!D21)</f>
        <v>6</v>
      </c>
      <c r="E21" s="55">
        <f>IF(Computations!$K21=1,Computations!J21,"")</f>
        <v>0.39722222222222214</v>
      </c>
      <c r="F21" s="55">
        <f>IF(ISTEXT($E21),"",E21+Computations!$E21)</f>
        <v>0.4013888888888888</v>
      </c>
      <c r="G21" s="55">
        <f>IF(Computations!$K21=2,Computations!J21,"")</f>
      </c>
      <c r="H21" s="55">
        <f>IF(ISTEXT($G21),"",$G21+Computations!$E21)</f>
      </c>
      <c r="I21" s="55">
        <f>IF(Computations!$K21=3,Computations!J21,"")</f>
      </c>
      <c r="J21" s="55">
        <f>IF(ISTEXT($I21),"",$I21+Computations!$E21)</f>
      </c>
      <c r="K21" s="55">
        <f>IF(ISTEXT($A21),"",Computations!J21-Computations!$F21)</f>
        <v>0</v>
      </c>
      <c r="L21" s="55">
        <f>IF(ISTEXT(A21),"",$K21+Computations!$E21)</f>
        <v>0.004166666666666667</v>
      </c>
    </row>
    <row r="22" spans="1:12" s="48" customFormat="1" ht="12.75" customHeight="1">
      <c r="A22" s="54">
        <f>Computations!A22</f>
        <v>11</v>
      </c>
      <c r="B22" s="56">
        <f>IF(ISTEXT(C22),"",Computations!B22)</f>
        <v>3</v>
      </c>
      <c r="C22" s="55">
        <f>IF(Computations!F22="closed",Computations!F21+Computations!C22,Computations!F22)</f>
        <v>0.39930555555555547</v>
      </c>
      <c r="D22" s="56">
        <f>IF(ISTEXT(A22),"",Computations!D22)</f>
        <v>9</v>
      </c>
      <c r="E22" s="55">
        <f>IF(Computations!$K22=1,Computations!J22,"")</f>
      </c>
      <c r="F22" s="55">
        <f>IF(ISTEXT($E22),"",E22+Computations!$E22)</f>
      </c>
      <c r="G22" s="55">
        <f>IF(Computations!$K22=2,Computations!J22,"")</f>
        <v>0.39930555555555547</v>
      </c>
      <c r="H22" s="55">
        <f>IF(ISTEXT($G22),"",$G22+Computations!$E22)</f>
        <v>0.40555555555555545</v>
      </c>
      <c r="I22" s="55">
        <f>IF(Computations!$K22=3,Computations!J22,"")</f>
      </c>
      <c r="J22" s="55">
        <f>IF(ISTEXT($I22),"",$I22+Computations!$E22)</f>
      </c>
      <c r="K22" s="55">
        <f>IF(ISTEXT($A22),"",Computations!J22-Computations!$F22)</f>
        <v>0</v>
      </c>
      <c r="L22" s="55">
        <f>IF(ISTEXT(A22),"",$K22+Computations!$E22)</f>
        <v>0.00625</v>
      </c>
    </row>
    <row r="23" spans="1:23" ht="12.75" customHeight="1">
      <c r="A23" s="54">
        <f>Computations!A23</f>
        <v>12</v>
      </c>
      <c r="B23" s="56">
        <f>IF(ISTEXT(C23),"",Computations!B23)</f>
        <v>5</v>
      </c>
      <c r="C23" s="55">
        <f>IF(Computations!F23="closed",Computations!F22+Computations!C23,Computations!F23)</f>
        <v>0.4027777777777777</v>
      </c>
      <c r="D23" s="56">
        <f>IF(ISTEXT(A23),"",Computations!D23)</f>
        <v>9</v>
      </c>
      <c r="E23" s="55">
        <f>IF(Computations!$K23=1,Computations!J23,"")</f>
        <v>0.4027777777777777</v>
      </c>
      <c r="F23" s="55">
        <f>IF(ISTEXT($E23),"",E23+Computations!$E23)</f>
        <v>0.40902777777777766</v>
      </c>
      <c r="G23" s="55">
        <f>IF(Computations!$K23=2,Computations!J23,"")</f>
      </c>
      <c r="H23" s="55">
        <f>IF(ISTEXT($G23),"",$G23+Computations!$E23)</f>
      </c>
      <c r="I23" s="55">
        <f>IF(Computations!$K23=3,Computations!J23,"")</f>
      </c>
      <c r="J23" s="55">
        <f>IF(ISTEXT($I23),"",$I23+Computations!$E23)</f>
      </c>
      <c r="K23" s="55">
        <f>IF(ISTEXT($A23),"",Computations!J23-Computations!$F23)</f>
        <v>0</v>
      </c>
      <c r="L23" s="55">
        <f>IF(ISTEXT(A23),"",$K23+Computations!$E23)</f>
        <v>0.00625</v>
      </c>
      <c r="M23" s="48"/>
      <c r="W23" s="48"/>
    </row>
    <row r="24" spans="1:13" ht="12.75" customHeight="1">
      <c r="A24" s="54">
        <f>Computations!A24</f>
        <v>13</v>
      </c>
      <c r="B24" s="56">
        <f>IF(ISTEXT(C24),"",Computations!B24)</f>
        <v>1</v>
      </c>
      <c r="C24" s="55">
        <f>IF(Computations!F24="closed",Computations!F23+Computations!C24,Computations!F24)</f>
        <v>0.4034722222222221</v>
      </c>
      <c r="D24" s="56">
        <f>IF(ISTEXT(A24),"",Computations!D24)</f>
        <v>3</v>
      </c>
      <c r="E24" s="55">
        <f>IF(Computations!$K24=1,Computations!J24,"")</f>
      </c>
      <c r="F24" s="55">
        <f>IF(ISTEXT($E24),"",E24+Computations!$E24)</f>
      </c>
      <c r="G24" s="55">
        <f>IF(Computations!$K24=2,Computations!J24,"")</f>
      </c>
      <c r="H24" s="55">
        <f>IF(ISTEXT($G24),"",$G24+Computations!$E24)</f>
      </c>
      <c r="I24" s="55">
        <f>IF(Computations!$K24=3,Computations!J24,"")</f>
        <v>0.4034722222222221</v>
      </c>
      <c r="J24" s="55">
        <f>IF(ISTEXT($I24),"",$I24+Computations!$E24)</f>
        <v>0.40555555555555545</v>
      </c>
      <c r="K24" s="55">
        <f>IF(ISTEXT($A24),"",Computations!J24-Computations!$F24)</f>
        <v>0</v>
      </c>
      <c r="L24" s="55">
        <f>IF(ISTEXT(A24),"",$K24+Computations!$E24)</f>
        <v>0.0020833333333333333</v>
      </c>
      <c r="M24" s="48"/>
    </row>
    <row r="25" spans="1:13" ht="12.75" customHeight="1">
      <c r="A25" s="54">
        <f>Computations!A25</f>
        <v>14</v>
      </c>
      <c r="B25" s="56">
        <f>IF(ISTEXT(C25),"",Computations!B25)</f>
        <v>5</v>
      </c>
      <c r="C25" s="55">
        <f>IF(Computations!F25="closed",Computations!F24+Computations!C25,Computations!F25)</f>
        <v>0.40694444444444433</v>
      </c>
      <c r="D25" s="56">
        <f>IF(ISTEXT(A25),"",Computations!D25)</f>
        <v>9</v>
      </c>
      <c r="E25" s="55">
        <f>IF(Computations!$K25=1,Computations!J25,"")</f>
      </c>
      <c r="F25" s="55">
        <f>IF(ISTEXT($E25),"",E25+Computations!$E25)</f>
      </c>
      <c r="G25" s="55">
        <f>IF(Computations!$K25=2,Computations!J25,"")</f>
        <v>0.40694444444444433</v>
      </c>
      <c r="H25" s="55">
        <f>IF(ISTEXT($G25),"",$G25+Computations!$E25)</f>
        <v>0.4131944444444443</v>
      </c>
      <c r="I25" s="55">
        <f>IF(Computations!$K25=3,Computations!J25,"")</f>
      </c>
      <c r="J25" s="55">
        <f>IF(ISTEXT($I25),"",$I25+Computations!$E25)</f>
      </c>
      <c r="K25" s="55">
        <f>IF(ISTEXT($A25),"",Computations!J25-Computations!$F25)</f>
        <v>0</v>
      </c>
      <c r="L25" s="55">
        <f>IF(ISTEXT(A25),"",$K25+Computations!$E25)</f>
        <v>0.00625</v>
      </c>
      <c r="M25" s="48"/>
    </row>
    <row r="26" spans="1:13" ht="12.75" customHeight="1">
      <c r="A26" s="54">
        <f>Computations!A26</f>
        <v>15</v>
      </c>
      <c r="B26" s="56">
        <f>IF(ISTEXT(C26),"",Computations!B26)</f>
        <v>5</v>
      </c>
      <c r="C26" s="55">
        <f>IF(Computations!F26="closed",Computations!F25+Computations!C26,Computations!F26)</f>
        <v>0.41041666666666654</v>
      </c>
      <c r="D26" s="56">
        <f>IF(ISTEXT(A26),"",Computations!D26)</f>
        <v>3</v>
      </c>
      <c r="E26" s="55">
        <f>IF(Computations!$K26=1,Computations!J26,"")</f>
        <v>0.41041666666666654</v>
      </c>
      <c r="F26" s="55">
        <f>IF(ISTEXT($E26),"",E26+Computations!$E26)</f>
        <v>0.41249999999999987</v>
      </c>
      <c r="G26" s="55">
        <f>IF(Computations!$K26=2,Computations!J26,"")</f>
      </c>
      <c r="H26" s="55">
        <f>IF(ISTEXT($G26),"",$G26+Computations!$E26)</f>
      </c>
      <c r="I26" s="55">
        <f>IF(Computations!$K26=3,Computations!J26,"")</f>
      </c>
      <c r="J26" s="55">
        <f>IF(ISTEXT($I26),"",$I26+Computations!$E26)</f>
      </c>
      <c r="K26" s="55">
        <f>IF(ISTEXT($A26),"",Computations!J26-Computations!$F26)</f>
        <v>0</v>
      </c>
      <c r="L26" s="55">
        <f>IF(ISTEXT(A26),"",$K26+Computations!$E26)</f>
        <v>0.0020833333333333333</v>
      </c>
      <c r="M26" s="48"/>
    </row>
    <row r="28" spans="11:19" ht="12.75" customHeight="1">
      <c r="K28" s="44"/>
      <c r="S28" s="44"/>
    </row>
    <row r="29" ht="12.75" customHeight="1">
      <c r="U29" s="57"/>
    </row>
    <row r="31" ht="12.75" customHeight="1">
      <c r="S31" s="44"/>
    </row>
    <row r="32" ht="12.75" customHeight="1">
      <c r="S32" s="44"/>
    </row>
    <row r="33" ht="12.75" customHeight="1">
      <c r="S33" s="44"/>
    </row>
    <row r="34" ht="12.75" customHeight="1">
      <c r="S34" s="44"/>
    </row>
    <row r="35" ht="12.75" customHeight="1">
      <c r="S35" s="44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41"/>
  <sheetViews>
    <sheetView zoomScale="75" zoomScaleNormal="75" workbookViewId="0" topLeftCell="A6">
      <selection activeCell="M12" sqref="M12:O41"/>
    </sheetView>
  </sheetViews>
  <sheetFormatPr defaultColWidth="9.140625" defaultRowHeight="12.75" customHeight="1"/>
  <cols>
    <col min="1" max="1" width="6.8515625" style="19" customWidth="1"/>
    <col min="2" max="2" width="12.140625" style="69" customWidth="1"/>
    <col min="3" max="3" width="12.140625" style="19" customWidth="1"/>
    <col min="4" max="4" width="11.421875" style="72" customWidth="1"/>
    <col min="5" max="5" width="9.421875" style="60" customWidth="1"/>
    <col min="6" max="6" width="9.140625" style="19" customWidth="1"/>
    <col min="7" max="9" width="10.57421875" style="48" customWidth="1"/>
    <col min="10" max="10" width="11.7109375" style="53" customWidth="1"/>
    <col min="11" max="11" width="8.00390625" style="48" customWidth="1"/>
    <col min="12" max="16384" width="9.140625" style="19" customWidth="1"/>
  </cols>
  <sheetData>
    <row r="1" spans="2:4" ht="12.75" customHeight="1">
      <c r="B1" s="58"/>
      <c r="C1" s="12"/>
      <c r="D1" s="59"/>
    </row>
    <row r="2" spans="2:4" ht="12.75" customHeight="1">
      <c r="B2" s="58"/>
      <c r="D2" s="61"/>
    </row>
    <row r="3" spans="2:11" ht="12.75" customHeight="1">
      <c r="B3" s="58"/>
      <c r="C3" s="12"/>
      <c r="D3" s="59"/>
      <c r="E3" s="62"/>
      <c r="F3" s="12"/>
      <c r="J3" s="63"/>
      <c r="K3" s="46"/>
    </row>
    <row r="4" spans="2:4" ht="12.75" customHeight="1">
      <c r="B4" s="58"/>
      <c r="D4" s="61"/>
    </row>
    <row r="5" spans="2:4" ht="12.75" customHeight="1">
      <c r="B5" s="58"/>
      <c r="D5" s="61"/>
    </row>
    <row r="6" spans="2:9" ht="12.75" customHeight="1">
      <c r="B6" s="64" t="s">
        <v>7</v>
      </c>
      <c r="D6" s="64" t="s">
        <v>27</v>
      </c>
      <c r="G6" s="46" t="s">
        <v>28</v>
      </c>
      <c r="H6" s="46" t="s">
        <v>28</v>
      </c>
      <c r="I6" s="46" t="s">
        <v>28</v>
      </c>
    </row>
    <row r="7" spans="1:11" ht="12.75" customHeight="1">
      <c r="A7" s="49" t="s">
        <v>15</v>
      </c>
      <c r="B7" s="64" t="s">
        <v>29</v>
      </c>
      <c r="C7" s="46" t="s">
        <v>7</v>
      </c>
      <c r="D7" s="64" t="s">
        <v>13</v>
      </c>
      <c r="E7" s="65" t="s">
        <v>27</v>
      </c>
      <c r="F7" s="46" t="s">
        <v>16</v>
      </c>
      <c r="G7" s="46" t="s">
        <v>30</v>
      </c>
      <c r="H7" s="46" t="s">
        <v>31</v>
      </c>
      <c r="I7" s="46" t="s">
        <v>32</v>
      </c>
      <c r="J7" s="63" t="s">
        <v>33</v>
      </c>
      <c r="K7" s="49" t="s">
        <v>34</v>
      </c>
    </row>
    <row r="8" spans="1:11" ht="12.75" customHeight="1">
      <c r="A8" s="49" t="s">
        <v>22</v>
      </c>
      <c r="B8" s="64" t="s">
        <v>35</v>
      </c>
      <c r="C8" s="46" t="s">
        <v>13</v>
      </c>
      <c r="D8" s="64" t="s">
        <v>35</v>
      </c>
      <c r="E8" s="65" t="s">
        <v>13</v>
      </c>
      <c r="F8" s="46" t="s">
        <v>13</v>
      </c>
      <c r="G8" s="46" t="s">
        <v>13</v>
      </c>
      <c r="H8" s="46" t="s">
        <v>13</v>
      </c>
      <c r="I8" s="46" t="s">
        <v>13</v>
      </c>
      <c r="J8" s="63" t="s">
        <v>1</v>
      </c>
      <c r="K8" s="49" t="s">
        <v>36</v>
      </c>
    </row>
    <row r="9" spans="1:13" ht="12.75" customHeight="1" thickBot="1">
      <c r="A9" s="66"/>
      <c r="B9" s="67" t="s">
        <v>14</v>
      </c>
      <c r="C9" s="51" t="s">
        <v>37</v>
      </c>
      <c r="D9" s="67" t="s">
        <v>14</v>
      </c>
      <c r="E9" s="68" t="s">
        <v>37</v>
      </c>
      <c r="F9" s="51" t="s">
        <v>25</v>
      </c>
      <c r="G9" s="51" t="s">
        <v>25</v>
      </c>
      <c r="H9" s="51" t="s">
        <v>25</v>
      </c>
      <c r="I9" s="51" t="s">
        <v>25</v>
      </c>
      <c r="J9" s="51" t="s">
        <v>25</v>
      </c>
      <c r="K9" s="50"/>
      <c r="M9" s="74" t="s">
        <v>38</v>
      </c>
    </row>
    <row r="10" spans="1:6" ht="12.75" customHeight="1">
      <c r="A10" s="48"/>
      <c r="C10" s="48"/>
      <c r="D10" s="69"/>
      <c r="E10" s="70"/>
      <c r="F10" s="48"/>
    </row>
    <row r="11" spans="1:15" ht="12.75" customHeight="1">
      <c r="A11" s="54" t="s">
        <v>26</v>
      </c>
      <c r="C11" s="48"/>
      <c r="D11" s="69"/>
      <c r="E11" s="70"/>
      <c r="F11" s="55">
        <f>start_time</f>
        <v>0.375</v>
      </c>
      <c r="G11" s="53"/>
      <c r="H11" s="53"/>
      <c r="I11" s="53"/>
      <c r="M11" s="19" t="s">
        <v>39</v>
      </c>
      <c r="N11" s="19" t="s">
        <v>40</v>
      </c>
      <c r="O11" s="19" t="s">
        <v>41</v>
      </c>
    </row>
    <row r="12" spans="1:15" ht="12.75" customHeight="1">
      <c r="A12" s="54">
        <f>IF(ISTEXT(F12),"closed",1)</f>
        <v>1</v>
      </c>
      <c r="B12" s="69">
        <f ca="1">VLOOKUP(RAND(),arrival,3)</f>
        <v>5</v>
      </c>
      <c r="C12" s="55">
        <f>B12/1440</f>
        <v>0.003472222222222222</v>
      </c>
      <c r="D12" s="69">
        <f ca="1">VLOOKUP(RAND(),service,3)</f>
        <v>6</v>
      </c>
      <c r="E12" s="71">
        <f>D12/1440</f>
        <v>0.004166666666666667</v>
      </c>
      <c r="F12" s="55">
        <f>IF(ISTEXT(F11),"",IF(F11+C12&gt;=close_time,"closed",F11+C12))</f>
        <v>0.3784722222222222</v>
      </c>
      <c r="G12" s="55">
        <f>IF(ISTEXT(F12),"",MAX(Simulation!F$11:F11,start_time,$F12))</f>
        <v>0.3784722222222222</v>
      </c>
      <c r="H12" s="55">
        <f>IF(ISTEXT($F12),"",MAX(Simulation!H$11:H11,start_time,$F12))</f>
        <v>0.3784722222222222</v>
      </c>
      <c r="I12" s="55">
        <f>IF(ISTEXT($F12),"",MAX(Simulation!J$11:J11,start_time,$F12))</f>
        <v>0.3784722222222222</v>
      </c>
      <c r="J12" s="55">
        <f>IF(ISTEXT(F12),"",MIN(G12:I12))</f>
        <v>0.3784722222222222</v>
      </c>
      <c r="K12" s="54">
        <f>IF(ISTEXT(F12),"",MATCH(J12,G12:I12,0))</f>
        <v>1</v>
      </c>
      <c r="M12" s="44">
        <f>IF(ISNUMBER(SMALL(Simulation!$E$12:Simulation!$F$26,1)),SMALL(Simulation!$E$12:Simulation!$F$26,1),1)</f>
        <v>0.3784722222222222</v>
      </c>
      <c r="N12" s="44">
        <f>IF(ISNUMBER(SMALL(Simulation!$G$12:Simulation!$H$26,1)),SMALL(Simulation!$G$12:Simulation!$H$26,1),1)</f>
        <v>0.37916666666666665</v>
      </c>
      <c r="O12" s="44">
        <f>IF(ISNUMBER(SMALL(Simulation!$I$12:Simulation!$J$26,1)),SMALL(Simulation!$I$12:Simulation!$J$26,1),1)</f>
        <v>0.3798611111111111</v>
      </c>
    </row>
    <row r="13" spans="1:15" ht="12.75" customHeight="1">
      <c r="A13" s="54">
        <f>IF(ISTEXT(F13),"closed",A12+1)</f>
        <v>2</v>
      </c>
      <c r="B13" s="69">
        <f aca="true" ca="1" t="shared" si="0" ref="B13:B26">VLOOKUP(RAND(),arrival,3)</f>
        <v>1</v>
      </c>
      <c r="C13" s="55">
        <f aca="true" t="shared" si="1" ref="C13:C26">B13/1440</f>
        <v>0.0006944444444444445</v>
      </c>
      <c r="D13" s="69">
        <f aca="true" ca="1" t="shared" si="2" ref="D13:D26">VLOOKUP(RAND(),service,3)</f>
        <v>6</v>
      </c>
      <c r="E13" s="71">
        <f aca="true" t="shared" si="3" ref="E13:E26">D13/1440</f>
        <v>0.004166666666666667</v>
      </c>
      <c r="F13" s="55">
        <f aca="true" t="shared" si="4" ref="F13:F26">IF(ISTEXT(F12),"",IF(F12+C13&gt;=close_time,"closed",F12+C13))</f>
        <v>0.37916666666666665</v>
      </c>
      <c r="G13" s="55">
        <f>IF(ISTEXT(F13),"",MAX(Simulation!F$11:F12,start_time,$F13))</f>
        <v>0.38263888888888886</v>
      </c>
      <c r="H13" s="55">
        <f>IF(ISTEXT(F13),"",MAX(Simulation!H$11:H12,start_time,$F13))</f>
        <v>0.37916666666666665</v>
      </c>
      <c r="I13" s="55">
        <f>IF(ISTEXT($F13),"",MAX(Simulation!J$11:J12,start_time,$F13))</f>
        <v>0.37916666666666665</v>
      </c>
      <c r="J13" s="55">
        <f aca="true" t="shared" si="5" ref="J13:J26">IF(ISTEXT(F13),"",MIN(G13:I13))</f>
        <v>0.37916666666666665</v>
      </c>
      <c r="K13" s="54">
        <f aca="true" t="shared" si="6" ref="K13:K26">IF(ISTEXT(F13),"",MATCH(J13,G13:I13,0))</f>
        <v>2</v>
      </c>
      <c r="M13" s="44">
        <f>IF(ISNUMBER(SMALL(Simulation!$E$12:Simulation!$F$26,2)),SMALL(Simulation!$E$12:Simulation!$F$26,2),1)</f>
        <v>0.38263888888888886</v>
      </c>
      <c r="N13" s="44">
        <f>IF(ISNUMBER(SMALL(Simulation!$G$12:Simulation!$H$26,2)),SMALL(Simulation!$G$12:Simulation!$H$26,2),1)</f>
        <v>0.3833333333333333</v>
      </c>
      <c r="O13" s="44">
        <f>IF(ISNUMBER(SMALL(Simulation!$I$12:Simulation!$J$26,2)),SMALL(Simulation!$I$12:Simulation!$J$26,2),1)</f>
        <v>0.3819444444444444</v>
      </c>
    </row>
    <row r="14" spans="1:15" ht="12.75" customHeight="1">
      <c r="A14" s="54">
        <f aca="true" t="shared" si="7" ref="A14:A26">IF(ISTEXT(F14),"closed",A13+1)</f>
        <v>3</v>
      </c>
      <c r="B14" s="69">
        <f ca="1" t="shared" si="0"/>
        <v>1</v>
      </c>
      <c r="C14" s="55">
        <f t="shared" si="1"/>
        <v>0.0006944444444444445</v>
      </c>
      <c r="D14" s="69">
        <f ca="1" t="shared" si="2"/>
        <v>3</v>
      </c>
      <c r="E14" s="71">
        <f t="shared" si="3"/>
        <v>0.0020833333333333333</v>
      </c>
      <c r="F14" s="55">
        <f t="shared" si="4"/>
        <v>0.3798611111111111</v>
      </c>
      <c r="G14" s="55">
        <f>IF(ISTEXT(F14),"",MAX(Simulation!F$11:F13,start_time,$F14))</f>
        <v>0.38263888888888886</v>
      </c>
      <c r="H14" s="55">
        <f>IF(ISTEXT(F14),"",MAX(Simulation!H$11:H13,start_time,$F14))</f>
        <v>0.3833333333333333</v>
      </c>
      <c r="I14" s="55">
        <f>IF(ISTEXT($F14),"",MAX(Simulation!J$11:J13,start_time,$F14))</f>
        <v>0.3798611111111111</v>
      </c>
      <c r="J14" s="55">
        <f t="shared" si="5"/>
        <v>0.3798611111111111</v>
      </c>
      <c r="K14" s="54">
        <f t="shared" si="6"/>
        <v>3</v>
      </c>
      <c r="M14" s="44">
        <f>IF(ISNUMBER(SMALL(Simulation!$E$12:Simulation!$F$26,3)),SMALL(Simulation!$E$12:Simulation!$F$26,3),1)</f>
        <v>0.38402777777777775</v>
      </c>
      <c r="N14" s="44">
        <f>IF(ISNUMBER(SMALL(Simulation!$G$12:Simulation!$H$26,3)),SMALL(Simulation!$G$12:Simulation!$H$26,3),1)</f>
        <v>0.38749999999999996</v>
      </c>
      <c r="O14" s="44">
        <f>IF(ISNUMBER(SMALL(Simulation!$I$12:Simulation!$J$26,3)),SMALL(Simulation!$I$12:Simulation!$J$26,3),1)</f>
        <v>0.3819444444444444</v>
      </c>
    </row>
    <row r="15" spans="1:15" ht="12.75" customHeight="1">
      <c r="A15" s="54">
        <f t="shared" si="7"/>
        <v>4</v>
      </c>
      <c r="B15" s="69">
        <f ca="1" t="shared" si="0"/>
        <v>1</v>
      </c>
      <c r="C15" s="55">
        <f t="shared" si="1"/>
        <v>0.0006944444444444445</v>
      </c>
      <c r="D15" s="69">
        <f ca="1" t="shared" si="2"/>
        <v>3</v>
      </c>
      <c r="E15" s="71">
        <f t="shared" si="3"/>
        <v>0.0020833333333333333</v>
      </c>
      <c r="F15" s="55">
        <f t="shared" si="4"/>
        <v>0.38055555555555554</v>
      </c>
      <c r="G15" s="55">
        <f>IF(ISTEXT(F15),"",MAX(Simulation!F$11:F14,start_time,$F15))</f>
        <v>0.38263888888888886</v>
      </c>
      <c r="H15" s="55">
        <f>IF(ISTEXT(F15),"",MAX(Simulation!H$11:H14,start_time,$F15))</f>
        <v>0.3833333333333333</v>
      </c>
      <c r="I15" s="55">
        <f>IF(ISTEXT($F15),"",MAX(Simulation!J$11:J14,start_time,$F15))</f>
        <v>0.3819444444444444</v>
      </c>
      <c r="J15" s="55">
        <f t="shared" si="5"/>
        <v>0.3819444444444444</v>
      </c>
      <c r="K15" s="54">
        <f t="shared" si="6"/>
        <v>3</v>
      </c>
      <c r="M15" s="44">
        <f>IF(ISNUMBER(SMALL(Simulation!$E$12:Simulation!$F$26,4)),SMALL(Simulation!$E$12:Simulation!$F$26,4),1)</f>
        <v>0.3881944444444444</v>
      </c>
      <c r="N15" s="44">
        <f>IF(ISNUMBER(SMALL(Simulation!$G$12:Simulation!$H$26,4)),SMALL(Simulation!$G$12:Simulation!$H$26,4),1)</f>
        <v>0.3916666666666666</v>
      </c>
      <c r="O15" s="44">
        <f>IF(ISNUMBER(SMALL(Simulation!$I$12:Simulation!$J$26,4)),SMALL(Simulation!$I$12:Simulation!$J$26,4),1)</f>
        <v>0.38402777777777775</v>
      </c>
    </row>
    <row r="16" spans="1:15" ht="12.75" customHeight="1">
      <c r="A16" s="54">
        <f t="shared" si="7"/>
        <v>5</v>
      </c>
      <c r="B16" s="69">
        <f ca="1" t="shared" si="0"/>
        <v>5</v>
      </c>
      <c r="C16" s="55">
        <f t="shared" si="1"/>
        <v>0.003472222222222222</v>
      </c>
      <c r="D16" s="69">
        <f ca="1" t="shared" si="2"/>
        <v>6</v>
      </c>
      <c r="E16" s="71">
        <f t="shared" si="3"/>
        <v>0.004166666666666667</v>
      </c>
      <c r="F16" s="55">
        <f t="shared" si="4"/>
        <v>0.38402777777777775</v>
      </c>
      <c r="G16" s="55">
        <f>IF(ISTEXT(F16),"",MAX(Simulation!F$11:F15,start_time,$F16))</f>
        <v>0.38402777777777775</v>
      </c>
      <c r="H16" s="55">
        <f>IF(ISTEXT(F16),"",MAX(Simulation!H$11:H15,start_time,$F16))</f>
        <v>0.38402777777777775</v>
      </c>
      <c r="I16" s="55">
        <f>IF(ISTEXT($F16),"",MAX(Simulation!J$11:J15,start_time,$F16))</f>
        <v>0.38402777777777775</v>
      </c>
      <c r="J16" s="55">
        <f t="shared" si="5"/>
        <v>0.38402777777777775</v>
      </c>
      <c r="K16" s="54">
        <f t="shared" si="6"/>
        <v>1</v>
      </c>
      <c r="M16" s="44">
        <f>IF(ISNUMBER(SMALL(Simulation!$E$12:Simulation!$F$26,5)),SMALL(Simulation!$E$12:Simulation!$F$26,5),1)</f>
        <v>0.39097222222222217</v>
      </c>
      <c r="N16" s="44">
        <f>IF(ISNUMBER(SMALL(Simulation!$G$12:Simulation!$H$26,5)),SMALL(Simulation!$G$12:Simulation!$H$26,5),1)</f>
        <v>0.3916666666666666</v>
      </c>
      <c r="O16" s="44">
        <f>IF(ISNUMBER(SMALL(Simulation!$I$12:Simulation!$J$26,5)),SMALL(Simulation!$I$12:Simulation!$J$26,5),1)</f>
        <v>0.4034722222222221</v>
      </c>
    </row>
    <row r="17" spans="1:15" ht="12.75" customHeight="1">
      <c r="A17" s="54">
        <f t="shared" si="7"/>
        <v>6</v>
      </c>
      <c r="B17" s="69">
        <f ca="1" t="shared" si="0"/>
        <v>5</v>
      </c>
      <c r="C17" s="55">
        <f t="shared" si="1"/>
        <v>0.003472222222222222</v>
      </c>
      <c r="D17" s="69">
        <f ca="1" t="shared" si="2"/>
        <v>6</v>
      </c>
      <c r="E17" s="71">
        <f t="shared" si="3"/>
        <v>0.004166666666666667</v>
      </c>
      <c r="F17" s="55">
        <f t="shared" si="4"/>
        <v>0.38749999999999996</v>
      </c>
      <c r="G17" s="55">
        <f>IF(ISTEXT(F17),"",MAX(Simulation!F$11:F16,start_time,$F17))</f>
        <v>0.3881944444444444</v>
      </c>
      <c r="H17" s="55">
        <f>IF(ISTEXT(F17),"",MAX(Simulation!H$11:H16,start_time,$F17))</f>
        <v>0.38749999999999996</v>
      </c>
      <c r="I17" s="55">
        <f>IF(ISTEXT($F17),"",MAX(Simulation!J$11:J16,start_time,$F17))</f>
        <v>0.38749999999999996</v>
      </c>
      <c r="J17" s="55">
        <f t="shared" si="5"/>
        <v>0.38749999999999996</v>
      </c>
      <c r="K17" s="54">
        <f t="shared" si="6"/>
        <v>2</v>
      </c>
      <c r="M17" s="44">
        <f>IF(ISNUMBER(SMALL(Simulation!$E$12:Simulation!$F$26,6)),SMALL(Simulation!$E$12:Simulation!$F$26,6),1)</f>
        <v>0.3930555555555555</v>
      </c>
      <c r="N17" s="44">
        <f>IF(ISNUMBER(SMALL(Simulation!$G$12:Simulation!$H$26,6)),SMALL(Simulation!$G$12:Simulation!$H$26,6),1)</f>
        <v>0.39374999999999993</v>
      </c>
      <c r="O17" s="44">
        <f>IF(ISNUMBER(SMALL(Simulation!$I$12:Simulation!$J$26,6)),SMALL(Simulation!$I$12:Simulation!$J$26,6),1)</f>
        <v>0.40555555555555545</v>
      </c>
    </row>
    <row r="18" spans="1:15" ht="12.75" customHeight="1">
      <c r="A18" s="54">
        <f t="shared" si="7"/>
        <v>7</v>
      </c>
      <c r="B18" s="69">
        <f ca="1" t="shared" si="0"/>
        <v>5</v>
      </c>
      <c r="C18" s="55">
        <f t="shared" si="1"/>
        <v>0.003472222222222222</v>
      </c>
      <c r="D18" s="69">
        <f ca="1" t="shared" si="2"/>
        <v>3</v>
      </c>
      <c r="E18" s="71">
        <f t="shared" si="3"/>
        <v>0.0020833333333333333</v>
      </c>
      <c r="F18" s="55">
        <f t="shared" si="4"/>
        <v>0.39097222222222217</v>
      </c>
      <c r="G18" s="55">
        <f>IF(ISTEXT(F18),"",MAX(Simulation!F$11:F17,start_time,$F18))</f>
        <v>0.39097222222222217</v>
      </c>
      <c r="H18" s="55">
        <f>IF(ISTEXT(F18),"",MAX(Simulation!H$11:H17,start_time,$F18))</f>
        <v>0.3916666666666666</v>
      </c>
      <c r="I18" s="55">
        <f>IF(ISTEXT($F18),"",MAX(Simulation!J$11:J17,start_time,$F18))</f>
        <v>0.39097222222222217</v>
      </c>
      <c r="J18" s="55">
        <f t="shared" si="5"/>
        <v>0.39097222222222217</v>
      </c>
      <c r="K18" s="54">
        <f t="shared" si="6"/>
        <v>1</v>
      </c>
      <c r="M18" s="44">
        <f>IF(ISNUMBER(SMALL(Simulation!$E$12:Simulation!$F$26,7)),SMALL(Simulation!$E$12:Simulation!$F$26,7),1)</f>
        <v>0.39374999999999993</v>
      </c>
      <c r="N18" s="44">
        <f>IF(ISNUMBER(SMALL(Simulation!$G$12:Simulation!$H$26,7)),SMALL(Simulation!$G$12:Simulation!$H$26,7),1)</f>
        <v>0.39930555555555547</v>
      </c>
      <c r="O18" s="44">
        <f>IF(ISNUMBER(SMALL(Simulation!$I$12:Simulation!$J$26,7)),SMALL(Simulation!$I$12:Simulation!$J$26,7),1)</f>
        <v>1</v>
      </c>
    </row>
    <row r="19" spans="1:15" ht="12.75" customHeight="1">
      <c r="A19" s="54">
        <f t="shared" si="7"/>
        <v>8</v>
      </c>
      <c r="B19" s="69">
        <f ca="1" t="shared" si="0"/>
        <v>1</v>
      </c>
      <c r="C19" s="55">
        <f t="shared" si="1"/>
        <v>0.0006944444444444445</v>
      </c>
      <c r="D19" s="69">
        <f ca="1" t="shared" si="2"/>
        <v>3</v>
      </c>
      <c r="E19" s="71">
        <f t="shared" si="3"/>
        <v>0.0020833333333333333</v>
      </c>
      <c r="F19" s="55">
        <f t="shared" si="4"/>
        <v>0.3916666666666666</v>
      </c>
      <c r="G19" s="55">
        <f>IF(ISTEXT(F19),"",MAX(Simulation!F$11:F18,start_time,$F19))</f>
        <v>0.3930555555555555</v>
      </c>
      <c r="H19" s="55">
        <f>IF(ISTEXT(F19),"",MAX(Simulation!H$11:H18,start_time,$F19))</f>
        <v>0.3916666666666666</v>
      </c>
      <c r="I19" s="55">
        <f>IF(ISTEXT($F19),"",MAX(Simulation!J$11:J18,start_time,$F19))</f>
        <v>0.3916666666666666</v>
      </c>
      <c r="J19" s="55">
        <f t="shared" si="5"/>
        <v>0.3916666666666666</v>
      </c>
      <c r="K19" s="54">
        <f t="shared" si="6"/>
        <v>2</v>
      </c>
      <c r="M19" s="44">
        <f>IF(ISNUMBER(SMALL(Simulation!$E$12:Simulation!$F$26,8)),SMALL(Simulation!$E$12:Simulation!$F$26,8),1)</f>
        <v>0.39583333333333326</v>
      </c>
      <c r="N19" s="44">
        <f>IF(ISNUMBER(SMALL(Simulation!$G$12:Simulation!$H$26,8)),SMALL(Simulation!$G$12:Simulation!$H$26,8),1)</f>
        <v>0.40555555555555545</v>
      </c>
      <c r="O19" s="44">
        <f>IF(ISNUMBER(SMALL(Simulation!$I$12:Simulation!$J$26,8)),SMALL(Simulation!$I$12:Simulation!$J$26,8),1)</f>
        <v>1</v>
      </c>
    </row>
    <row r="20" spans="1:15" ht="12.75" customHeight="1">
      <c r="A20" s="54">
        <f t="shared" si="7"/>
        <v>9</v>
      </c>
      <c r="B20" s="69">
        <f ca="1" t="shared" si="0"/>
        <v>3</v>
      </c>
      <c r="C20" s="55">
        <f t="shared" si="1"/>
        <v>0.0020833333333333333</v>
      </c>
      <c r="D20" s="69">
        <f ca="1" t="shared" si="2"/>
        <v>3</v>
      </c>
      <c r="E20" s="71">
        <f t="shared" si="3"/>
        <v>0.0020833333333333333</v>
      </c>
      <c r="F20" s="55">
        <f t="shared" si="4"/>
        <v>0.39374999999999993</v>
      </c>
      <c r="G20" s="55">
        <f>IF(ISTEXT(F20),"",MAX(Simulation!F$11:F19,start_time,$F20))</f>
        <v>0.39374999999999993</v>
      </c>
      <c r="H20" s="55">
        <f>IF(ISTEXT(F20),"",MAX(Simulation!H$11:H19,start_time,$F20))</f>
        <v>0.39374999999999993</v>
      </c>
      <c r="I20" s="55">
        <f>IF(ISTEXT($F20),"",MAX(Simulation!J$11:J19,start_time,$F20))</f>
        <v>0.39374999999999993</v>
      </c>
      <c r="J20" s="55">
        <f t="shared" si="5"/>
        <v>0.39374999999999993</v>
      </c>
      <c r="K20" s="54">
        <f t="shared" si="6"/>
        <v>1</v>
      </c>
      <c r="M20" s="44">
        <f>IF(ISNUMBER(SMALL(Simulation!$E$12:Simulation!$F$26,9)),SMALL(Simulation!$E$12:Simulation!$F$26,9),1)</f>
        <v>0.39722222222222214</v>
      </c>
      <c r="N20" s="44">
        <f>IF(ISNUMBER(SMALL(Simulation!$G$12:Simulation!$H$26,9)),SMALL(Simulation!$G$12:Simulation!$H$26,9),1)</f>
        <v>0.40694444444444433</v>
      </c>
      <c r="O20" s="44">
        <f>IF(ISNUMBER(SMALL(Simulation!$I$12:Simulation!$J$26,9)),SMALL(Simulation!$I$12:Simulation!$J$26,9),1)</f>
        <v>1</v>
      </c>
    </row>
    <row r="21" spans="1:15" ht="12.75" customHeight="1">
      <c r="A21" s="54">
        <f t="shared" si="7"/>
        <v>10</v>
      </c>
      <c r="B21" s="69">
        <f ca="1" t="shared" si="0"/>
        <v>5</v>
      </c>
      <c r="C21" s="55">
        <f t="shared" si="1"/>
        <v>0.003472222222222222</v>
      </c>
      <c r="D21" s="69">
        <f ca="1" t="shared" si="2"/>
        <v>6</v>
      </c>
      <c r="E21" s="71">
        <f t="shared" si="3"/>
        <v>0.004166666666666667</v>
      </c>
      <c r="F21" s="55">
        <f t="shared" si="4"/>
        <v>0.39722222222222214</v>
      </c>
      <c r="G21" s="55">
        <f>IF(ISTEXT(F21),"",MAX(Simulation!F$11:F20,start_time,$F21))</f>
        <v>0.39722222222222214</v>
      </c>
      <c r="H21" s="55">
        <f>IF(ISTEXT(F21),"",MAX(Simulation!H$11:H20,start_time,$F21))</f>
        <v>0.39722222222222214</v>
      </c>
      <c r="I21" s="55">
        <f>IF(ISTEXT($F21),"",MAX(Simulation!J$11:J20,start_time,$F21))</f>
        <v>0.39722222222222214</v>
      </c>
      <c r="J21" s="55">
        <f t="shared" si="5"/>
        <v>0.39722222222222214</v>
      </c>
      <c r="K21" s="54">
        <f t="shared" si="6"/>
        <v>1</v>
      </c>
      <c r="M21" s="44">
        <f>IF(ISNUMBER(SMALL(Simulation!$E$12:Simulation!$F$26,10)),SMALL(Simulation!$E$12:Simulation!$F$26,10),1)</f>
        <v>0.4013888888888888</v>
      </c>
      <c r="N21" s="44">
        <f>IF(ISNUMBER(SMALL(Simulation!$G$12:Simulation!$H$26,10)),SMALL(Simulation!$G$12:Simulation!$H$26,10),1)</f>
        <v>0.4131944444444443</v>
      </c>
      <c r="O21" s="44">
        <f>IF(ISNUMBER(SMALL(Simulation!$I$12:Simulation!$J$26,10)),SMALL(Simulation!$I$12:Simulation!$J$26,10),1)</f>
        <v>1</v>
      </c>
    </row>
    <row r="22" spans="1:15" ht="12.75" customHeight="1">
      <c r="A22" s="54">
        <f t="shared" si="7"/>
        <v>11</v>
      </c>
      <c r="B22" s="69">
        <f ca="1" t="shared" si="0"/>
        <v>3</v>
      </c>
      <c r="C22" s="55">
        <f t="shared" si="1"/>
        <v>0.0020833333333333333</v>
      </c>
      <c r="D22" s="69">
        <f ca="1" t="shared" si="2"/>
        <v>9</v>
      </c>
      <c r="E22" s="71">
        <f t="shared" si="3"/>
        <v>0.00625</v>
      </c>
      <c r="F22" s="55">
        <f t="shared" si="4"/>
        <v>0.39930555555555547</v>
      </c>
      <c r="G22" s="55">
        <f>IF(ISTEXT(F22),"",MAX(Simulation!F$11:F21,start_time,$F22))</f>
        <v>0.4013888888888888</v>
      </c>
      <c r="H22" s="55">
        <f>IF(ISTEXT(F22),"",MAX(Simulation!H$11:H21,start_time,$F22))</f>
        <v>0.39930555555555547</v>
      </c>
      <c r="I22" s="55">
        <f>IF(ISTEXT($F22),"",MAX(Simulation!J$11:J21,start_time,$F22))</f>
        <v>0.39930555555555547</v>
      </c>
      <c r="J22" s="55">
        <f t="shared" si="5"/>
        <v>0.39930555555555547</v>
      </c>
      <c r="K22" s="54">
        <f t="shared" si="6"/>
        <v>2</v>
      </c>
      <c r="M22" s="44">
        <f>IF(ISNUMBER(SMALL(Simulation!$E$12:Simulation!$F$26,11)),SMALL(Simulation!$E$12:Simulation!$F$26,11),1)</f>
        <v>0.4027777777777777</v>
      </c>
      <c r="N22" s="44">
        <f>IF(ISNUMBER(SMALL(Simulation!$G$12:Simulation!$H$26,11)),SMALL(Simulation!$G$12:Simulation!$H$26,11),1)</f>
        <v>1</v>
      </c>
      <c r="O22" s="44">
        <f>IF(ISNUMBER(SMALL(Simulation!$I$12:Simulation!$J$26,11)),SMALL(Simulation!$I$12:Simulation!$J$26,11),1)</f>
        <v>1</v>
      </c>
    </row>
    <row r="23" spans="1:15" ht="12.75" customHeight="1">
      <c r="A23" s="54">
        <f t="shared" si="7"/>
        <v>12</v>
      </c>
      <c r="B23" s="69">
        <f ca="1" t="shared" si="0"/>
        <v>5</v>
      </c>
      <c r="C23" s="55">
        <f t="shared" si="1"/>
        <v>0.003472222222222222</v>
      </c>
      <c r="D23" s="69">
        <f ca="1" t="shared" si="2"/>
        <v>9</v>
      </c>
      <c r="E23" s="71">
        <f t="shared" si="3"/>
        <v>0.00625</v>
      </c>
      <c r="F23" s="55">
        <f t="shared" si="4"/>
        <v>0.4027777777777777</v>
      </c>
      <c r="G23" s="55">
        <f>IF(ISTEXT(F23),"",MAX(Simulation!F$11:F22,start_time,$F23))</f>
        <v>0.4027777777777777</v>
      </c>
      <c r="H23" s="55">
        <f>IF(ISTEXT(F23),"",MAX(Simulation!H$11:H22,start_time,$F23))</f>
        <v>0.40555555555555545</v>
      </c>
      <c r="I23" s="55">
        <f>IF(ISTEXT($F23),"",MAX(Simulation!J$11:J22,start_time,$F23))</f>
        <v>0.4027777777777777</v>
      </c>
      <c r="J23" s="55">
        <f t="shared" si="5"/>
        <v>0.4027777777777777</v>
      </c>
      <c r="K23" s="54">
        <f t="shared" si="6"/>
        <v>1</v>
      </c>
      <c r="M23" s="44">
        <f>IF(ISNUMBER(SMALL(Simulation!$E$12:Simulation!$F$26,12)),SMALL(Simulation!$E$12:Simulation!$F$26,12),1)</f>
        <v>0.40902777777777766</v>
      </c>
      <c r="N23" s="44">
        <f>IF(ISNUMBER(SMALL(Simulation!$G$12:Simulation!$H$26,12)),SMALL(Simulation!$G$12:Simulation!$H$26,12),1)</f>
        <v>1</v>
      </c>
      <c r="O23" s="44">
        <f>IF(ISNUMBER(SMALL(Simulation!$I$12:Simulation!$J$26,12)),SMALL(Simulation!$I$12:Simulation!$J$26,12),1)</f>
        <v>1</v>
      </c>
    </row>
    <row r="24" spans="1:15" ht="12.75" customHeight="1">
      <c r="A24" s="54">
        <f t="shared" si="7"/>
        <v>13</v>
      </c>
      <c r="B24" s="69">
        <f ca="1" t="shared" si="0"/>
        <v>1</v>
      </c>
      <c r="C24" s="55">
        <f t="shared" si="1"/>
        <v>0.0006944444444444445</v>
      </c>
      <c r="D24" s="69">
        <f ca="1" t="shared" si="2"/>
        <v>3</v>
      </c>
      <c r="E24" s="71">
        <f t="shared" si="3"/>
        <v>0.0020833333333333333</v>
      </c>
      <c r="F24" s="55">
        <f t="shared" si="4"/>
        <v>0.4034722222222221</v>
      </c>
      <c r="G24" s="55">
        <f>IF(ISTEXT(F24),"",MAX(Simulation!F$11:F23,start_time,$F24))</f>
        <v>0.40902777777777766</v>
      </c>
      <c r="H24" s="55">
        <f>IF(ISTEXT(F24),"",MAX(Simulation!H$11:H23,start_time,$F24))</f>
        <v>0.40555555555555545</v>
      </c>
      <c r="I24" s="55">
        <f>IF(ISTEXT($F24),"",MAX(Simulation!J$11:J23,start_time,$F24))</f>
        <v>0.4034722222222221</v>
      </c>
      <c r="J24" s="55">
        <f t="shared" si="5"/>
        <v>0.4034722222222221</v>
      </c>
      <c r="K24" s="54">
        <f t="shared" si="6"/>
        <v>3</v>
      </c>
      <c r="M24" s="44">
        <f>IF(ISNUMBER(SMALL(Simulation!$E$12:Simulation!$F$26,13)),SMALL(Simulation!$E$12:Simulation!$F$26,13),1)</f>
        <v>0.41041666666666654</v>
      </c>
      <c r="N24" s="44">
        <f>IF(ISNUMBER(SMALL(Simulation!$G$12:Simulation!$H$26,13)),SMALL(Simulation!$G$12:Simulation!$H$26,13),1)</f>
        <v>1</v>
      </c>
      <c r="O24" s="44">
        <f>IF(ISNUMBER(SMALL(Simulation!$I$12:Simulation!$J$26,13)),SMALL(Simulation!$I$12:Simulation!$J$26,13),1)</f>
        <v>1</v>
      </c>
    </row>
    <row r="25" spans="1:15" ht="12.75" customHeight="1">
      <c r="A25" s="54">
        <f t="shared" si="7"/>
        <v>14</v>
      </c>
      <c r="B25" s="69">
        <f ca="1" t="shared" si="0"/>
        <v>5</v>
      </c>
      <c r="C25" s="55">
        <f t="shared" si="1"/>
        <v>0.003472222222222222</v>
      </c>
      <c r="D25" s="69">
        <f ca="1" t="shared" si="2"/>
        <v>9</v>
      </c>
      <c r="E25" s="71">
        <f t="shared" si="3"/>
        <v>0.00625</v>
      </c>
      <c r="F25" s="55">
        <f t="shared" si="4"/>
        <v>0.40694444444444433</v>
      </c>
      <c r="G25" s="55">
        <f>IF(ISTEXT(F25),"",MAX(Simulation!F$11:F24,start_time,$F25))</f>
        <v>0.40902777777777766</v>
      </c>
      <c r="H25" s="55">
        <f>IF(ISTEXT(F25),"",MAX(Simulation!H$11:H24,start_time,$F25))</f>
        <v>0.40694444444444433</v>
      </c>
      <c r="I25" s="55">
        <f>IF(ISTEXT($F25),"",MAX(Simulation!J$11:J24,start_time,$F25))</f>
        <v>0.40694444444444433</v>
      </c>
      <c r="J25" s="55">
        <f t="shared" si="5"/>
        <v>0.40694444444444433</v>
      </c>
      <c r="K25" s="54">
        <f t="shared" si="6"/>
        <v>2</v>
      </c>
      <c r="M25" s="44">
        <f>IF(ISNUMBER(SMALL(Simulation!$E$12:Simulation!$F$26,14)),SMALL(Simulation!$E$12:Simulation!$F$26,14),1)</f>
        <v>0.41249999999999987</v>
      </c>
      <c r="N25" s="44">
        <f>IF(ISNUMBER(SMALL(Simulation!$G$12:Simulation!$H$26,14)),SMALL(Simulation!$G$12:Simulation!$H$26,14),1)</f>
        <v>1</v>
      </c>
      <c r="O25" s="44">
        <f>IF(ISNUMBER(SMALL(Simulation!$I$12:Simulation!$J$26,14)),SMALL(Simulation!$I$12:Simulation!$J$26,14),1)</f>
        <v>1</v>
      </c>
    </row>
    <row r="26" spans="1:15" ht="12.75" customHeight="1">
      <c r="A26" s="54">
        <f t="shared" si="7"/>
        <v>15</v>
      </c>
      <c r="B26" s="69">
        <f ca="1" t="shared" si="0"/>
        <v>5</v>
      </c>
      <c r="C26" s="55">
        <f t="shared" si="1"/>
        <v>0.003472222222222222</v>
      </c>
      <c r="D26" s="69">
        <f ca="1" t="shared" si="2"/>
        <v>3</v>
      </c>
      <c r="E26" s="71">
        <f t="shared" si="3"/>
        <v>0.0020833333333333333</v>
      </c>
      <c r="F26" s="55">
        <f t="shared" si="4"/>
        <v>0.41041666666666654</v>
      </c>
      <c r="G26" s="55">
        <f>IF(ISTEXT(F26),"",MAX(Simulation!F$11:F25,start_time,$F26))</f>
        <v>0.41041666666666654</v>
      </c>
      <c r="H26" s="55">
        <f>IF(ISTEXT(F26),"",MAX(Simulation!H$11:H25,start_time,$F26))</f>
        <v>0.4131944444444443</v>
      </c>
      <c r="I26" s="55">
        <f>IF(ISTEXT($F26),"",MAX(Simulation!J$11:J25,start_time,$F26))</f>
        <v>0.41041666666666654</v>
      </c>
      <c r="J26" s="55">
        <f t="shared" si="5"/>
        <v>0.41041666666666654</v>
      </c>
      <c r="K26" s="54">
        <f t="shared" si="6"/>
        <v>1</v>
      </c>
      <c r="M26" s="44">
        <f>IF(ISNUMBER(SMALL(Simulation!$E$12:Simulation!$F$26,15)),SMALL(Simulation!$E$12:Simulation!$F$26,15),1)</f>
        <v>1</v>
      </c>
      <c r="N26" s="44">
        <f>IF(ISNUMBER(SMALL(Simulation!$G$12:Simulation!$H$26,15)),SMALL(Simulation!$G$12:Simulation!$H$26,15),1)</f>
        <v>1</v>
      </c>
      <c r="O26" s="44">
        <f>IF(ISNUMBER(SMALL(Simulation!$I$12:Simulation!$J$26,15)),SMALL(Simulation!$I$12:Simulation!$J$26,15),1)</f>
        <v>1</v>
      </c>
    </row>
    <row r="27" spans="13:15" ht="12.75" customHeight="1">
      <c r="M27" s="44">
        <f>IF(ISNUMBER(SMALL(Simulation!$E$12:Simulation!$F$26,16)),SMALL(Simulation!$E$12:Simulation!$F$26,16),1)</f>
        <v>1</v>
      </c>
      <c r="N27" s="44">
        <f>IF(ISNUMBER(SMALL(Simulation!$G$12:Simulation!$H$26,16)),SMALL(Simulation!$G$12:Simulation!$H$26,16),1)</f>
        <v>1</v>
      </c>
      <c r="O27" s="44">
        <f>IF(ISNUMBER(SMALL(Simulation!$I$12:Simulation!$J$26,16)),SMALL(Simulation!$I$12:Simulation!$J$26,16),1)</f>
        <v>1</v>
      </c>
    </row>
    <row r="28" spans="13:15" ht="12.75" customHeight="1">
      <c r="M28" s="44">
        <f>IF(ISNUMBER(SMALL(Simulation!$E$12:Simulation!$F$26,17)),SMALL(Simulation!$E$12:Simulation!$F$26,17),1)</f>
        <v>1</v>
      </c>
      <c r="N28" s="44">
        <f>IF(ISNUMBER(SMALL(Simulation!$G$12:Simulation!$H$26,17)),SMALL(Simulation!$G$12:Simulation!$H$26,17),1)</f>
        <v>1</v>
      </c>
      <c r="O28" s="44">
        <f>IF(ISNUMBER(SMALL(Simulation!$I$12:Simulation!$J$26,17)),SMALL(Simulation!$I$12:Simulation!$J$26,17),1)</f>
        <v>1</v>
      </c>
    </row>
    <row r="29" spans="13:15" ht="12.75" customHeight="1">
      <c r="M29" s="44">
        <f>IF(ISNUMBER(SMALL(Simulation!$E$12:Simulation!$F$26,18)),SMALL(Simulation!$E$12:Simulation!$F$26,18),1)</f>
        <v>1</v>
      </c>
      <c r="N29" s="44">
        <f>IF(ISNUMBER(SMALL(Simulation!$G$12:Simulation!$H$26,18)),SMALL(Simulation!$G$12:Simulation!$H$26,18),1)</f>
        <v>1</v>
      </c>
      <c r="O29" s="44">
        <f>IF(ISNUMBER(SMALL(Simulation!$I$12:Simulation!$J$26,18)),SMALL(Simulation!$I$12:Simulation!$J$26,18),1)</f>
        <v>1</v>
      </c>
    </row>
    <row r="30" spans="13:15" ht="12.75" customHeight="1">
      <c r="M30" s="44">
        <f>IF(ISNUMBER(SMALL(Simulation!$E$12:Simulation!$F$26,19)),SMALL(Simulation!$E$12:Simulation!$F$26,19),1)</f>
        <v>1</v>
      </c>
      <c r="N30" s="44">
        <f>IF(ISNUMBER(SMALL(Simulation!$G$12:Simulation!$H$26,19)),SMALL(Simulation!$G$12:Simulation!$H$26,19),1)</f>
        <v>1</v>
      </c>
      <c r="O30" s="44">
        <f>IF(ISNUMBER(SMALL(Simulation!$I$12:Simulation!$J$26,19)),SMALL(Simulation!$I$12:Simulation!$J$26,19),1)</f>
        <v>1</v>
      </c>
    </row>
    <row r="31" spans="13:15" ht="12.75" customHeight="1">
      <c r="M31" s="44">
        <f>IF(ISNUMBER(SMALL(Simulation!$E$12:Simulation!$F$26,20)),SMALL(Simulation!$E$12:Simulation!$F$26,20),1)</f>
        <v>1</v>
      </c>
      <c r="N31" s="44">
        <f>IF(ISNUMBER(SMALL(Simulation!$G$12:Simulation!$H$26,20)),SMALL(Simulation!$G$12:Simulation!$H$26,20),1)</f>
        <v>1</v>
      </c>
      <c r="O31" s="44">
        <f>IF(ISNUMBER(SMALL(Simulation!$I$12:Simulation!$J$26,20)),SMALL(Simulation!$I$12:Simulation!$J$26,20),1)</f>
        <v>1</v>
      </c>
    </row>
    <row r="32" spans="13:15" ht="12.75" customHeight="1">
      <c r="M32" s="44">
        <f>IF(ISNUMBER(SMALL(Simulation!$E$12:Simulation!$F$26,21)),SMALL(Simulation!$E$12:Simulation!$F$26,21),1)</f>
        <v>1</v>
      </c>
      <c r="N32" s="44">
        <f>IF(ISNUMBER(SMALL(Simulation!$G$12:Simulation!$H$26,21)),SMALL(Simulation!$G$12:Simulation!$H$26,21),1)</f>
        <v>1</v>
      </c>
      <c r="O32" s="44">
        <f>IF(ISNUMBER(SMALL(Simulation!$I$12:Simulation!$J$26,21)),SMALL(Simulation!$I$12:Simulation!$J$26,21),1)</f>
        <v>1</v>
      </c>
    </row>
    <row r="33" spans="13:15" ht="12.75" customHeight="1">
      <c r="M33" s="44">
        <f>IF(ISNUMBER(SMALL(Simulation!$E$12:Simulation!$F$26,22)),SMALL(Simulation!$E$12:Simulation!$F$26,22),1)</f>
        <v>1</v>
      </c>
      <c r="N33" s="44">
        <f>IF(ISNUMBER(SMALL(Simulation!$G$12:Simulation!$H$26,22)),SMALL(Simulation!$G$12:Simulation!$H$26,22),1)</f>
        <v>1</v>
      </c>
      <c r="O33" s="44">
        <f>IF(ISNUMBER(SMALL(Simulation!$I$12:Simulation!$J$26,22)),SMALL(Simulation!$I$12:Simulation!$J$26,22),1)</f>
        <v>1</v>
      </c>
    </row>
    <row r="34" spans="13:15" ht="12.75" customHeight="1">
      <c r="M34" s="44">
        <f>IF(ISNUMBER(SMALL(Simulation!$E$12:Simulation!$F$26,23)),SMALL(Simulation!$E$12:Simulation!$F$26,23),1)</f>
        <v>1</v>
      </c>
      <c r="N34" s="44">
        <f>IF(ISNUMBER(SMALL(Simulation!$G$12:Simulation!$H$26,23)),SMALL(Simulation!$G$12:Simulation!$H$26,23),1)</f>
        <v>1</v>
      </c>
      <c r="O34" s="44">
        <f>IF(ISNUMBER(SMALL(Simulation!$I$12:Simulation!$J$26,23)),SMALL(Simulation!$I$12:Simulation!$J$26,23),1)</f>
        <v>1</v>
      </c>
    </row>
    <row r="35" spans="13:15" ht="12.75" customHeight="1">
      <c r="M35" s="44">
        <f>IF(ISNUMBER(SMALL(Simulation!$E$12:Simulation!$F$26,24)),SMALL(Simulation!$E$12:Simulation!$F$26,24),1)</f>
        <v>1</v>
      </c>
      <c r="N35" s="44">
        <f>IF(ISNUMBER(SMALL(Simulation!$G$12:Simulation!$H$26,24)),SMALL(Simulation!$G$12:Simulation!$H$26,24),1)</f>
        <v>1</v>
      </c>
      <c r="O35" s="44">
        <f>IF(ISNUMBER(SMALL(Simulation!$I$12:Simulation!$J$26,24)),SMALL(Simulation!$I$12:Simulation!$J$26,24),1)</f>
        <v>1</v>
      </c>
    </row>
    <row r="36" spans="13:15" ht="12.75" customHeight="1">
      <c r="M36" s="44">
        <f>IF(ISNUMBER(SMALL(Simulation!$E$12:Simulation!$F$26,25)),SMALL(Simulation!$E$12:Simulation!$F$26,25),1)</f>
        <v>1</v>
      </c>
      <c r="N36" s="44">
        <f>IF(ISNUMBER(SMALL(Simulation!$G$12:Simulation!$H$26,25)),SMALL(Simulation!$G$12:Simulation!$H$26,25),1)</f>
        <v>1</v>
      </c>
      <c r="O36" s="44">
        <f>IF(ISNUMBER(SMALL(Simulation!$I$12:Simulation!$J$26,25)),SMALL(Simulation!$I$12:Simulation!$J$26,25),1)</f>
        <v>1</v>
      </c>
    </row>
    <row r="37" spans="13:15" ht="12.75" customHeight="1">
      <c r="M37" s="44">
        <f>IF(ISNUMBER(SMALL(Simulation!$E$12:Simulation!$F$26,26)),SMALL(Simulation!$E$12:Simulation!$F$26,26),1)</f>
        <v>1</v>
      </c>
      <c r="N37" s="44">
        <f>IF(ISNUMBER(SMALL(Simulation!$G$12:Simulation!$H$26,26)),SMALL(Simulation!$G$12:Simulation!$H$26,26),1)</f>
        <v>1</v>
      </c>
      <c r="O37" s="44">
        <f>IF(ISNUMBER(SMALL(Simulation!$I$12:Simulation!$J$26,26)),SMALL(Simulation!$I$12:Simulation!$J$26,26),1)</f>
        <v>1</v>
      </c>
    </row>
    <row r="38" spans="13:15" ht="12.75" customHeight="1">
      <c r="M38" s="44">
        <f>IF(ISNUMBER(SMALL(Simulation!$E$12:Simulation!$F$26,27)),SMALL(Simulation!$E$12:Simulation!$F$26,27),1)</f>
        <v>1</v>
      </c>
      <c r="N38" s="44">
        <f>IF(ISNUMBER(SMALL(Simulation!$G$12:Simulation!$H$26,27)),SMALL(Simulation!$G$12:Simulation!$H$26,27),1)</f>
        <v>1</v>
      </c>
      <c r="O38" s="44">
        <f>IF(ISNUMBER(SMALL(Simulation!$I$12:Simulation!$J$26,27)),SMALL(Simulation!$I$12:Simulation!$J$26,27),1)</f>
        <v>1</v>
      </c>
    </row>
    <row r="39" spans="13:15" ht="12.75" customHeight="1">
      <c r="M39" s="44">
        <f>IF(ISNUMBER(SMALL(Simulation!$E$12:Simulation!$F$26,28)),SMALL(Simulation!$E$12:Simulation!$F$26,28),1)</f>
        <v>1</v>
      </c>
      <c r="N39" s="44">
        <f>IF(ISNUMBER(SMALL(Simulation!$G$12:Simulation!$H$26,28)),SMALL(Simulation!$G$12:Simulation!$H$26,28),1)</f>
        <v>1</v>
      </c>
      <c r="O39" s="44">
        <f>IF(ISNUMBER(SMALL(Simulation!$I$12:Simulation!$J$26,28)),SMALL(Simulation!$I$12:Simulation!$J$26,28),1)</f>
        <v>1</v>
      </c>
    </row>
    <row r="40" spans="13:15" ht="12.75" customHeight="1">
      <c r="M40" s="44">
        <f>IF(ISNUMBER(SMALL(Simulation!$E$12:Simulation!$F$26,29)),SMALL(Simulation!$E$12:Simulation!$F$26,29),1)</f>
        <v>1</v>
      </c>
      <c r="N40" s="44">
        <f>IF(ISNUMBER(SMALL(Simulation!$G$12:Simulation!$H$26,29)),SMALL(Simulation!$G$12:Simulation!$H$26,29),1)</f>
        <v>1</v>
      </c>
      <c r="O40" s="44">
        <f>IF(ISNUMBER(SMALL(Simulation!$I$12:Simulation!$J$26,29)),SMALL(Simulation!$I$12:Simulation!$J$26,29),1)</f>
        <v>1</v>
      </c>
    </row>
    <row r="41" spans="13:15" ht="12.75" customHeight="1">
      <c r="M41" s="44">
        <f>IF(ISNUMBER(SMALL(Simulation!$E$12:Simulation!$F$26,30)),SMALL(Simulation!$E$12:Simulation!$F$26,30),1)</f>
        <v>1</v>
      </c>
      <c r="N41" s="44">
        <f>IF(ISNUMBER(SMALL(Simulation!$G$12:Simulation!$H$26,30)),SMALL(Simulation!$G$12:Simulation!$H$26,30),1)</f>
        <v>1</v>
      </c>
      <c r="O41" s="44">
        <f>IF(ISNUMBER(SMALL(Simulation!$I$12:Simulation!$J$26,30)),SMALL(Simulation!$I$12:Simulation!$J$26,30),1)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42</v>
      </c>
    </row>
    <row r="2" ht="15.75">
      <c r="A2" s="2" t="s">
        <v>43</v>
      </c>
    </row>
    <row r="3" ht="12.75" customHeight="1">
      <c r="B3" s="3" t="s">
        <v>44</v>
      </c>
    </row>
    <row r="4" ht="12.75" customHeight="1">
      <c r="B4" s="3"/>
    </row>
    <row r="5" ht="12.75">
      <c r="A5" s="4" t="s">
        <v>45</v>
      </c>
    </row>
    <row r="6" ht="12.75">
      <c r="A6" t="s">
        <v>46</v>
      </c>
    </row>
    <row r="7" ht="12.75">
      <c r="A7" t="s">
        <v>47</v>
      </c>
    </row>
    <row r="8" ht="12.75">
      <c r="A8" t="s">
        <v>48</v>
      </c>
    </row>
    <row r="10" ht="12.75">
      <c r="A10" s="4" t="s">
        <v>49</v>
      </c>
    </row>
    <row r="11" ht="12.75">
      <c r="A11" t="s">
        <v>50</v>
      </c>
    </row>
    <row r="12" ht="12.75">
      <c r="A12" t="s">
        <v>51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A20" t="s">
        <v>59</v>
      </c>
    </row>
    <row r="22" ht="12.75">
      <c r="A22" s="4" t="s">
        <v>60</v>
      </c>
    </row>
    <row r="23" ht="12.75">
      <c r="A23" t="s">
        <v>61</v>
      </c>
    </row>
    <row r="24" ht="12.75">
      <c r="A24" t="s">
        <v>62</v>
      </c>
    </row>
    <row r="25" ht="12.75">
      <c r="A25" t="s">
        <v>51</v>
      </c>
    </row>
    <row r="26" ht="12.75">
      <c r="A26" t="s">
        <v>63</v>
      </c>
    </row>
    <row r="27" ht="12.75">
      <c r="A27" t="s">
        <v>64</v>
      </c>
    </row>
    <row r="29" ht="12.75">
      <c r="A29" s="4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4" ht="12.75">
      <c r="A34" s="4" t="s">
        <v>69</v>
      </c>
    </row>
    <row r="35" ht="12.75">
      <c r="A35" t="s">
        <v>70</v>
      </c>
    </row>
    <row r="36" ht="12.75">
      <c r="A36" t="s">
        <v>71</v>
      </c>
    </row>
    <row r="37" ht="12.75">
      <c r="A37" t="s">
        <v>72</v>
      </c>
    </row>
    <row r="38" ht="12.75">
      <c r="A38" t="s">
        <v>73</v>
      </c>
    </row>
    <row r="39" ht="12.75">
      <c r="A39" t="s">
        <v>74</v>
      </c>
    </row>
    <row r="40" ht="12.75">
      <c r="A40" t="s">
        <v>75</v>
      </c>
    </row>
    <row r="41" ht="12.75">
      <c r="A41" t="s">
        <v>76</v>
      </c>
    </row>
    <row r="43" ht="12.75">
      <c r="A43" s="4" t="s">
        <v>77</v>
      </c>
    </row>
    <row r="44" ht="12.75">
      <c r="A44" t="s">
        <v>78</v>
      </c>
    </row>
    <row r="45" ht="12.75">
      <c r="A45" t="s">
        <v>79</v>
      </c>
    </row>
    <row r="46" ht="12.75">
      <c r="A46" t="s">
        <v>80</v>
      </c>
    </row>
    <row r="47" ht="12.75">
      <c r="A47" t="s">
        <v>81</v>
      </c>
    </row>
    <row r="48" ht="12.75">
      <c r="A48" t="s">
        <v>82</v>
      </c>
    </row>
    <row r="50" ht="12.75">
      <c r="A50" s="4" t="s">
        <v>83</v>
      </c>
    </row>
    <row r="51" ht="12.75">
      <c r="A51" t="s">
        <v>84</v>
      </c>
    </row>
    <row r="52" ht="12.75">
      <c r="A52" t="s">
        <v>85</v>
      </c>
    </row>
    <row r="54" ht="12.75">
      <c r="A54" s="73" t="s">
        <v>86</v>
      </c>
    </row>
    <row r="55" ht="12.75">
      <c r="A55" t="s">
        <v>87</v>
      </c>
    </row>
    <row r="56" ht="12.75">
      <c r="A56" t="s">
        <v>88</v>
      </c>
    </row>
    <row r="57" ht="12.75">
      <c r="A57" t="s">
        <v>89</v>
      </c>
    </row>
    <row r="58" ht="12.75">
      <c r="A58" t="s">
        <v>90</v>
      </c>
    </row>
    <row r="60" ht="12.75">
      <c r="A60" s="5" t="s">
        <v>91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2001-09-17T01:38:34Z</dcterms:created>
  <dcterms:modified xsi:type="dcterms:W3CDTF">2001-09-17T16:41:20Z</dcterms:modified>
  <cp:category/>
  <cp:version/>
  <cp:contentType/>
  <cp:contentStatus/>
</cp:coreProperties>
</file>