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<sst xmlns="http://schemas.openxmlformats.org/spreadsheetml/2006/main" count="229" uniqueCount="119">
  <si>
    <t>Spreadsheet Simulation Queueing Engine:  9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</si>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</sst>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0.3819444444444444</c:v>
                </c:pt>
                <c:pt idx="1">
                  <c:v>0.38402777777777775</c:v>
                </c:pt>
                <c:pt idx="2">
                  <c:v>0.3847222222222222</c:v>
                </c:pt>
                <c:pt idx="3">
                  <c:v>0.3916666666666666</c:v>
                </c:pt>
                <c:pt idx="4">
                  <c:v>0.39236111111111105</c:v>
                </c:pt>
                <c:pt idx="5">
                  <c:v>0.3930555555555555</c:v>
                </c:pt>
                <c:pt idx="6">
                  <c:v>0.3951388888888888</c:v>
                </c:pt>
                <c:pt idx="7">
                  <c:v>0.398611111111111</c:v>
                </c:pt>
                <c:pt idx="8">
                  <c:v>0.39930555555555547</c:v>
                </c:pt>
                <c:pt idx="9">
                  <c:v>0.4013888888888888</c:v>
                </c:pt>
                <c:pt idx="10">
                  <c:v>0.4083333333333332</c:v>
                </c:pt>
                <c:pt idx="11">
                  <c:v>0.40902777777777766</c:v>
                </c:pt>
                <c:pt idx="12">
                  <c:v>0.411111111111111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Computations!$V$12:$V$26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Computations!$U$12:$U$26</c:f>
              <c:numCache>
                <c:ptCount val="15"/>
                <c:pt idx="0">
                  <c:v>0.004166666666666667</c:v>
                </c:pt>
                <c:pt idx="1">
                  <c:v>0.00625</c:v>
                </c:pt>
                <c:pt idx="2">
                  <c:v>0.004166666666666667</c:v>
                </c:pt>
                <c:pt idx="3">
                  <c:v>0.00625</c:v>
                </c:pt>
                <c:pt idx="4">
                  <c:v>0.00625</c:v>
                </c:pt>
                <c:pt idx="5">
                  <c:v>0.00625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0.0020833333333333333</c:v>
                </c:pt>
                <c:pt idx="9">
                  <c:v>0.004166666666666667</c:v>
                </c:pt>
                <c:pt idx="10">
                  <c:v>0.004166666666666667</c:v>
                </c:pt>
                <c:pt idx="11">
                  <c:v>0.0020833333333333333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59190707"/>
        <c:axId val="62954316"/>
      </c:barChart>
      <c:catAx>
        <c:axId val="5919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Computations!$X$41:$AF$41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Computations!$X$40:$AF$40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Computations!$X$39:$AF$39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Computations!$X$38:$AF$38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Computations!$X$37:$AF$37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Computations!$X$36:$AF$36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Computations!$X$35:$AF$35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Computations!$X$34:$AF$34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Computations!$X$33:$AF$33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Computations!$X$32:$AF$32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Computations!$X$31:$AF$31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Computations!$X$30:$AF$30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Computations!$X$29:$AF$29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Computations!$X$28:$AF$28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Computations!$X$27:$AF$27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Computations!$X$26:$AF$26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Computations!$X$25:$AF$25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Computations!$X$24:$AF$24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Computations!$X$23:$AF$23</c:f>
              <c:numCache>
                <c:ptCount val="9"/>
                <c:pt idx="0">
                  <c:v>1</c:v>
                </c:pt>
                <c:pt idx="1">
                  <c:v>0.41736111111111096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Computations!$X$22:$AF$22</c:f>
              <c:numCache>
                <c:ptCount val="9"/>
                <c:pt idx="0">
                  <c:v>1</c:v>
                </c:pt>
                <c:pt idx="1">
                  <c:v>0.411111111111111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Computations!$X$21:$AF$21</c:f>
              <c:numCache>
                <c:ptCount val="9"/>
                <c:pt idx="0">
                  <c:v>1</c:v>
                </c:pt>
                <c:pt idx="1">
                  <c:v>0.411111111111111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Computations!$X$20:$AF$20</c:f>
              <c:numCache>
                <c:ptCount val="9"/>
                <c:pt idx="0">
                  <c:v>1</c:v>
                </c:pt>
                <c:pt idx="1">
                  <c:v>0.40902777777777766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Computations!$X$19:$AF$19</c:f>
              <c:numCache>
                <c:ptCount val="9"/>
                <c:pt idx="0">
                  <c:v>0.41249999999999987</c:v>
                </c:pt>
                <c:pt idx="1">
                  <c:v>0.40555555555555545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Computations!$X$18:$AF$18</c:f>
              <c:numCache>
                <c:ptCount val="9"/>
                <c:pt idx="0">
                  <c:v>0.4083333333333332</c:v>
                </c:pt>
                <c:pt idx="1">
                  <c:v>0.4013888888888888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Computations!$X$17:$AF$17</c:f>
              <c:numCache>
                <c:ptCount val="9"/>
                <c:pt idx="0">
                  <c:v>0.4027777777777777</c:v>
                </c:pt>
                <c:pt idx="1">
                  <c:v>0.4013888888888888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Computations!$X$16:$AF$16</c:f>
              <c:numCache>
                <c:ptCount val="9"/>
                <c:pt idx="0">
                  <c:v>0.398611111111111</c:v>
                </c:pt>
                <c:pt idx="1">
                  <c:v>0.39930555555555547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Computations!$X$15:$AF$15</c:f>
              <c:numCache>
                <c:ptCount val="9"/>
                <c:pt idx="0">
                  <c:v>0.3979166666666666</c:v>
                </c:pt>
                <c:pt idx="1">
                  <c:v>0.398611111111111</c:v>
                </c:pt>
                <c:pt idx="2">
                  <c:v>0.39930555555555547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Computations!$X$14:$AF$14</c:f>
              <c:numCache>
                <c:ptCount val="9"/>
                <c:pt idx="0">
                  <c:v>0.3916666666666666</c:v>
                </c:pt>
                <c:pt idx="1">
                  <c:v>0.39236111111111105</c:v>
                </c:pt>
                <c:pt idx="2">
                  <c:v>0.3930555555555555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Computations!$X$13:$AF$13</c:f>
              <c:numCache>
                <c:ptCount val="9"/>
                <c:pt idx="0">
                  <c:v>0.38611111111111107</c:v>
                </c:pt>
                <c:pt idx="1">
                  <c:v>0.3902777777777777</c:v>
                </c:pt>
                <c:pt idx="2">
                  <c:v>0.38888888888888884</c:v>
                </c:pt>
                <c:pt idx="3">
                  <c:v>0.4013888888888888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Computations!$X$11:$AF$11</c:f>
              <c:strCache>
                <c:ptCount val="9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</c:strCache>
            </c:strRef>
          </c:cat>
          <c:val>
            <c:numRef>
              <c:f>Computations!$X$12:$AF$12</c:f>
              <c:numCache>
                <c:ptCount val="9"/>
                <c:pt idx="0">
                  <c:v>0.3819444444444444</c:v>
                </c:pt>
                <c:pt idx="1">
                  <c:v>0.38402777777777775</c:v>
                </c:pt>
                <c:pt idx="2">
                  <c:v>0.3847222222222222</c:v>
                </c:pt>
                <c:pt idx="3">
                  <c:v>0.3951388888888888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overlap val="100"/>
        <c:axId val="29717933"/>
        <c:axId val="66134806"/>
      </c:barChart>
      <c:catAx>
        <c:axId val="29717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17933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47625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27</xdr:row>
      <xdr:rowOff>104775</xdr:rowOff>
    </xdr:from>
    <xdr:to>
      <xdr:col>20</xdr:col>
      <xdr:colOff>171450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9825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9" sqref="D9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24" width="9.140625" style="1" customWidth="1"/>
    <col min="25" max="25" width="11.140625" style="1" customWidth="1"/>
    <col min="26" max="27" width="9.140625" style="1" customWidth="1"/>
    <col min="28" max="28" width="7.421875" style="1" customWidth="1"/>
    <col min="29" max="33" width="7.7109375" style="1" customWidth="1"/>
    <col min="34" max="34" width="9.140625" style="50" customWidth="1"/>
    <col min="35" max="35" width="9.140625" style="2" customWidth="1"/>
    <col min="36" max="16384" width="9.140625" style="1" customWidth="1"/>
  </cols>
  <sheetData>
    <row r="1" spans="1:35" ht="12.75">
      <c r="A1" s="3"/>
      <c r="B1" s="39"/>
      <c r="C1" s="3"/>
      <c r="D1" s="3"/>
      <c r="E1" s="3"/>
      <c r="F1" s="3"/>
      <c r="G1" s="3"/>
      <c r="H1" s="3"/>
      <c r="I1" s="3"/>
      <c r="AH1" s="1"/>
      <c r="AI1" s="1"/>
    </row>
    <row r="2" spans="1:35" ht="12.75">
      <c r="A2" s="3"/>
      <c r="B2" s="39"/>
      <c r="C2" s="3"/>
      <c r="D2" s="3"/>
      <c r="E2" s="3"/>
      <c r="F2" s="3"/>
      <c r="G2" s="3"/>
      <c r="H2" s="3"/>
      <c r="I2" s="3"/>
      <c r="AH2" s="1"/>
      <c r="AI2" s="1"/>
    </row>
    <row r="3" spans="1:35" ht="12.75">
      <c r="A3" s="3"/>
      <c r="B3" s="39"/>
      <c r="C3" s="3"/>
      <c r="D3" s="3"/>
      <c r="E3" s="3"/>
      <c r="F3" s="3"/>
      <c r="G3" s="3"/>
      <c r="H3" s="3"/>
      <c r="I3" s="3"/>
      <c r="AH3" s="1"/>
      <c r="AI3" s="1"/>
    </row>
    <row r="4" spans="1:35" ht="12.75">
      <c r="A4" s="3"/>
      <c r="B4" s="39"/>
      <c r="C4" s="3"/>
      <c r="D4" s="3"/>
      <c r="E4" s="3"/>
      <c r="F4" s="3"/>
      <c r="G4" s="3"/>
      <c r="H4" s="3"/>
      <c r="I4" s="3"/>
      <c r="AH4" s="1"/>
      <c r="AI4" s="1"/>
    </row>
    <row r="7" spans="1:27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25</v>
      </c>
      <c r="P7" s="42"/>
      <c r="Q7" s="42" t="s">
        <v>26</v>
      </c>
      <c r="R7" s="42"/>
      <c r="S7" s="42" t="s">
        <v>27</v>
      </c>
      <c r="T7" s="42"/>
      <c r="U7" s="42" t="s">
        <v>28</v>
      </c>
      <c r="V7" s="42"/>
      <c r="W7" s="42" t="s">
        <v>29</v>
      </c>
      <c r="X7" s="42"/>
      <c r="Y7" s="42" t="s">
        <v>20</v>
      </c>
      <c r="Z7" s="40" t="s">
        <v>30</v>
      </c>
      <c r="AA7" s="40" t="s">
        <v>31</v>
      </c>
    </row>
    <row r="8" spans="1:27" s="40" customFormat="1" ht="12.75">
      <c r="A8" s="40" t="s">
        <v>32</v>
      </c>
      <c r="B8" s="41" t="s">
        <v>15</v>
      </c>
      <c r="C8" s="41" t="s">
        <v>15</v>
      </c>
      <c r="D8" s="40" t="s">
        <v>33</v>
      </c>
      <c r="E8" s="43" t="s">
        <v>34</v>
      </c>
      <c r="F8" s="40" t="s">
        <v>15</v>
      </c>
      <c r="G8" s="44" t="s">
        <v>35</v>
      </c>
      <c r="H8" s="44" t="s">
        <v>36</v>
      </c>
      <c r="I8" s="44" t="s">
        <v>35</v>
      </c>
      <c r="J8" s="44" t="s">
        <v>36</v>
      </c>
      <c r="K8" s="44" t="s">
        <v>35</v>
      </c>
      <c r="L8" s="44" t="s">
        <v>36</v>
      </c>
      <c r="M8" s="44" t="s">
        <v>35</v>
      </c>
      <c r="N8" s="44" t="s">
        <v>36</v>
      </c>
      <c r="O8" s="44" t="s">
        <v>35</v>
      </c>
      <c r="P8" s="44" t="s">
        <v>36</v>
      </c>
      <c r="Q8" s="44" t="s">
        <v>35</v>
      </c>
      <c r="R8" s="44" t="s">
        <v>36</v>
      </c>
      <c r="S8" s="44" t="s">
        <v>35</v>
      </c>
      <c r="T8" s="44" t="s">
        <v>36</v>
      </c>
      <c r="U8" s="44" t="s">
        <v>35</v>
      </c>
      <c r="V8" s="44" t="s">
        <v>36</v>
      </c>
      <c r="W8" s="44" t="s">
        <v>35</v>
      </c>
      <c r="X8" s="44" t="s">
        <v>36</v>
      </c>
      <c r="Y8" s="44" t="s">
        <v>37</v>
      </c>
      <c r="Z8" s="43" t="s">
        <v>15</v>
      </c>
      <c r="AA8" s="43" t="s">
        <v>15</v>
      </c>
    </row>
    <row r="9" spans="1:27" s="40" customFormat="1" ht="13.5" thickBot="1">
      <c r="A9" s="45"/>
      <c r="B9" s="46" t="s">
        <v>16</v>
      </c>
      <c r="C9" s="45" t="s">
        <v>38</v>
      </c>
      <c r="D9" s="45"/>
      <c r="E9" s="45" t="s">
        <v>38</v>
      </c>
      <c r="F9" s="45" t="s">
        <v>16</v>
      </c>
      <c r="G9" s="45" t="s">
        <v>38</v>
      </c>
      <c r="H9" s="45" t="s">
        <v>38</v>
      </c>
      <c r="I9" s="45" t="s">
        <v>38</v>
      </c>
      <c r="J9" s="45" t="s">
        <v>38</v>
      </c>
      <c r="K9" s="45" t="s">
        <v>38</v>
      </c>
      <c r="L9" s="45" t="s">
        <v>38</v>
      </c>
      <c r="M9" s="45" t="s">
        <v>38</v>
      </c>
      <c r="N9" s="45" t="s">
        <v>38</v>
      </c>
      <c r="O9" s="45" t="s">
        <v>38</v>
      </c>
      <c r="P9" s="45" t="s">
        <v>38</v>
      </c>
      <c r="Q9" s="45" t="s">
        <v>38</v>
      </c>
      <c r="R9" s="45" t="s">
        <v>38</v>
      </c>
      <c r="S9" s="45" t="s">
        <v>38</v>
      </c>
      <c r="T9" s="45" t="s">
        <v>38</v>
      </c>
      <c r="U9" s="45" t="s">
        <v>38</v>
      </c>
      <c r="V9" s="45" t="s">
        <v>38</v>
      </c>
      <c r="W9" s="45" t="s">
        <v>38</v>
      </c>
      <c r="X9" s="45" t="s">
        <v>38</v>
      </c>
      <c r="Y9" s="45" t="s">
        <v>38</v>
      </c>
      <c r="Z9" s="45" t="s">
        <v>38</v>
      </c>
      <c r="AA9" s="45" t="s">
        <v>38</v>
      </c>
    </row>
    <row r="10" spans="2:25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7" s="47" customFormat="1" ht="12.75">
      <c r="A11" s="76" t="s">
        <v>39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6"/>
      <c r="AA11" s="76"/>
    </row>
    <row r="12" spans="1:27" s="47" customFormat="1" ht="12.75">
      <c r="A12" s="76">
        <f>Computations!A12</f>
        <v>1</v>
      </c>
      <c r="B12" s="77">
        <f>IF(ISTEXT(C12),"",Computations!B12)</f>
        <v>10</v>
      </c>
      <c r="C12" s="78">
        <f>IF(Computations!F12="closed",Computations!F11+Computations!C12,Computations!F12)</f>
        <v>0.3819444444444444</v>
      </c>
      <c r="D12" s="76">
        <f>Computations!H12</f>
      </c>
      <c r="E12" s="78">
        <f>Computations!I12</f>
      </c>
      <c r="F12" s="76">
        <f>IF(ISTEXT(Computations!T12),"",Computations!D12)</f>
        <v>6</v>
      </c>
      <c r="G12" s="78">
        <f>IF(Computations!$T12=1,Computations!S12,"")</f>
        <v>0.3819444444444444</v>
      </c>
      <c r="H12" s="78">
        <f>IF(ISTEXT($G12),"",$G12+Computations!$E12)</f>
        <v>0.38611111111111107</v>
      </c>
      <c r="I12" s="78">
        <f>IF(Computations!$T12=2,Computations!S12,"")</f>
      </c>
      <c r="J12" s="78">
        <f>IF(ISTEXT($I12),"",$I12+Computations!$E12)</f>
      </c>
      <c r="K12" s="78">
        <f>IF(Computations!$T12=3,Computations!S12,"")</f>
      </c>
      <c r="L12" s="78">
        <f>IF(ISTEXT($K12),"",$K12+Computations!$E12)</f>
      </c>
      <c r="M12" s="78">
        <f>IF(Computations!$T12=4,Computations!S12,"")</f>
      </c>
      <c r="N12" s="78">
        <f>IF(ISTEXT($M12),"",$M12+Computations!$E12)</f>
      </c>
      <c r="O12" s="78">
        <f>IF(Computations!$T12=5,Computations!S12,"")</f>
      </c>
      <c r="P12" s="78">
        <f>IF(ISTEXT($O12),"",$O12+Computations!$E12)</f>
      </c>
      <c r="Q12" s="78">
        <f>IF(Computations!$T12=6,Computations!S12,"")</f>
      </c>
      <c r="R12" s="78">
        <f>IF(ISTEXT($Q12),"",$Q12+Computations!$E12)</f>
      </c>
      <c r="S12" s="78">
        <f>IF(Computations!$T12=7,Computations!S12,"")</f>
      </c>
      <c r="T12" s="78">
        <f>IF(ISTEXT($S12),"",$S12+Computations!$E12)</f>
      </c>
      <c r="U12" s="78">
        <f>IF(Computations!$T12=8,Computations!S12,"")</f>
      </c>
      <c r="V12" s="78">
        <f>IF(ISTEXT($U12),"",$U12+Computations!$E12)</f>
      </c>
      <c r="W12" s="78">
        <f>IF(Computations!$T12=9,Computations!S12,"")</f>
      </c>
      <c r="X12" s="78">
        <f>IF(ISTEXT($W12),"",$W12+Computations!$E12)</f>
      </c>
      <c r="Y12" s="78">
        <f>IF(D12="renege",E12-C12,"")</f>
      </c>
      <c r="Z12" s="78">
        <f>IF(D12="renege","",Computations!G12)</f>
        <v>0</v>
      </c>
      <c r="AA12" s="78">
        <f>IF(ISTEXT(Z12),"",$Z12+Computations!$E12)</f>
        <v>0.004166666666666667</v>
      </c>
    </row>
    <row r="13" spans="1:27" s="47" customFormat="1" ht="12.75">
      <c r="A13" s="76">
        <f>Computations!A13</f>
        <v>2</v>
      </c>
      <c r="B13" s="77">
        <f>IF(ISTEXT(C13),"",Computations!B13)</f>
        <v>3</v>
      </c>
      <c r="C13" s="78">
        <f>IF(Computations!F13="closed",Computations!F12+Computations!C13,Computations!F13)</f>
        <v>0.38402777777777775</v>
      </c>
      <c r="D13" s="76">
        <f>Computations!H13</f>
      </c>
      <c r="E13" s="78">
        <f>Computations!I13</f>
      </c>
      <c r="F13" s="76">
        <f>IF(ISTEXT(Computations!T13),"",Computations!D13)</f>
        <v>9</v>
      </c>
      <c r="G13" s="78">
        <f>IF(Computations!$T13=1,Computations!S13,"")</f>
      </c>
      <c r="H13" s="78">
        <f>IF(ISTEXT($G13),"",$G13+Computations!$E13)</f>
      </c>
      <c r="I13" s="78">
        <f>IF(Computations!$T13=2,Computations!S13,"")</f>
        <v>0.38402777777777775</v>
      </c>
      <c r="J13" s="78">
        <f>IF(ISTEXT($I13),"",$I13+Computations!$E13)</f>
        <v>0.3902777777777777</v>
      </c>
      <c r="K13" s="78">
        <f>IF(Computations!$T13=3,Computations!S13,"")</f>
      </c>
      <c r="L13" s="78">
        <f>IF(ISTEXT($K13),"",$K13+Computations!$E13)</f>
      </c>
      <c r="M13" s="78">
        <f>IF(Computations!$T13=4,Computations!S13,"")</f>
      </c>
      <c r="N13" s="78">
        <f>IF(ISTEXT($M13),"",$M13+Computations!$E13)</f>
      </c>
      <c r="O13" s="78">
        <f>IF(Computations!$T13=5,Computations!S13,"")</f>
      </c>
      <c r="P13" s="78">
        <f>IF(ISTEXT($O13),"",$O13+Computations!$E13)</f>
      </c>
      <c r="Q13" s="78">
        <f>IF(Computations!$T13=6,Computations!S13,"")</f>
      </c>
      <c r="R13" s="78">
        <f>IF(ISTEXT($Q13),"",$Q13+Computations!$E13)</f>
      </c>
      <c r="S13" s="78">
        <f>IF(Computations!$T13=7,Computations!S13,"")</f>
      </c>
      <c r="T13" s="78">
        <f>IF(ISTEXT($S13),"",$S13+Computations!$E13)</f>
      </c>
      <c r="U13" s="78">
        <f>IF(Computations!$T13=8,Computations!S13,"")</f>
      </c>
      <c r="V13" s="78">
        <f>IF(ISTEXT($U13),"",$U13+Computations!$E13)</f>
      </c>
      <c r="W13" s="78">
        <f>IF(Computations!$T13=9,Computations!S13,"")</f>
      </c>
      <c r="X13" s="78">
        <f>IF(ISTEXT($W13),"",$W13+Computations!$E13)</f>
      </c>
      <c r="Y13" s="78">
        <f aca="true" t="shared" si="0" ref="Y13:Y26">IF(D13="renege",E13-C13,"")</f>
      </c>
      <c r="Z13" s="78">
        <f>IF(D13="renege","",Computations!G13)</f>
        <v>0</v>
      </c>
      <c r="AA13" s="78">
        <f>IF(ISTEXT(Z13),"",$Z13+Computations!$E13)</f>
        <v>0.00625</v>
      </c>
    </row>
    <row r="14" spans="1:27" s="47" customFormat="1" ht="12.75">
      <c r="A14" s="76">
        <f>Computations!A14</f>
        <v>3</v>
      </c>
      <c r="B14" s="77">
        <f>IF(ISTEXT(C14),"",Computations!B14)</f>
        <v>1</v>
      </c>
      <c r="C14" s="78">
        <f>IF(Computations!F14="closed",Computations!F13+Computations!C14,Computations!F14)</f>
        <v>0.3847222222222222</v>
      </c>
      <c r="D14" s="76">
        <f>Computations!H14</f>
      </c>
      <c r="E14" s="78">
        <f>Computations!I14</f>
      </c>
      <c r="F14" s="76">
        <f>IF(ISTEXT(Computations!T14),"",Computations!D14)</f>
        <v>6</v>
      </c>
      <c r="G14" s="78">
        <f>IF(Computations!$T14=1,Computations!S14,"")</f>
      </c>
      <c r="H14" s="78">
        <f>IF(ISTEXT($G14),"",$G14+Computations!$E14)</f>
      </c>
      <c r="I14" s="78">
        <f>IF(Computations!$T14=2,Computations!S14,"")</f>
      </c>
      <c r="J14" s="78">
        <f>IF(ISTEXT($I14),"",$I14+Computations!$E14)</f>
      </c>
      <c r="K14" s="78">
        <f>IF(Computations!$T14=3,Computations!S14,"")</f>
        <v>0.3847222222222222</v>
      </c>
      <c r="L14" s="78">
        <f>IF(ISTEXT($K14),"",$K14+Computations!$E14)</f>
        <v>0.38888888888888884</v>
      </c>
      <c r="M14" s="78">
        <f>IF(Computations!$T14=4,Computations!S14,"")</f>
      </c>
      <c r="N14" s="78">
        <f>IF(ISTEXT($M14),"",$M14+Computations!$E14)</f>
      </c>
      <c r="O14" s="78">
        <f>IF(Computations!$T14=5,Computations!S14,"")</f>
      </c>
      <c r="P14" s="78">
        <f>IF(ISTEXT($O14),"",$O14+Computations!$E14)</f>
      </c>
      <c r="Q14" s="78">
        <f>IF(Computations!$T14=6,Computations!S14,"")</f>
      </c>
      <c r="R14" s="78">
        <f>IF(ISTEXT($Q14),"",$Q14+Computations!$E14)</f>
      </c>
      <c r="S14" s="78">
        <f>IF(Computations!$T14=7,Computations!S14,"")</f>
      </c>
      <c r="T14" s="78">
        <f>IF(ISTEXT($S14),"",$S14+Computations!$E14)</f>
      </c>
      <c r="U14" s="78">
        <f>IF(Computations!$T14=8,Computations!S14,"")</f>
      </c>
      <c r="V14" s="78">
        <f>IF(ISTEXT($U14),"",$U14+Computations!$E14)</f>
      </c>
      <c r="W14" s="78">
        <f>IF(Computations!$T14=9,Computations!S14,"")</f>
      </c>
      <c r="X14" s="78">
        <f>IF(ISTEXT($W14),"",$W14+Computations!$E14)</f>
      </c>
      <c r="Y14" s="78">
        <f t="shared" si="0"/>
      </c>
      <c r="Z14" s="78">
        <f>IF(D14="renege","",Computations!G14)</f>
        <v>0</v>
      </c>
      <c r="AA14" s="78">
        <f>IF(ISTEXT(Z14),"",$Z14+Computations!$E14)</f>
        <v>0.004166666666666667</v>
      </c>
    </row>
    <row r="15" spans="1:27" s="47" customFormat="1" ht="12.75">
      <c r="A15" s="76">
        <f>Computations!A15</f>
        <v>4</v>
      </c>
      <c r="B15" s="77">
        <f>IF(ISTEXT(C15),"",Computations!B15)</f>
        <v>10</v>
      </c>
      <c r="C15" s="78">
        <f>IF(Computations!F15="closed",Computations!F14+Computations!C15,Computations!F15)</f>
        <v>0.3916666666666666</v>
      </c>
      <c r="D15" s="76">
        <f>Computations!H15</f>
      </c>
      <c r="E15" s="78">
        <f>Computations!I15</f>
      </c>
      <c r="F15" s="76">
        <f>IF(ISTEXT(Computations!T15),"",Computations!D15)</f>
        <v>9</v>
      </c>
      <c r="G15" s="78">
        <f>IF(Computations!$T15=1,Computations!S15,"")</f>
        <v>0.3916666666666666</v>
      </c>
      <c r="H15" s="78">
        <f>IF(ISTEXT($G15),"",$G15+Computations!$E15)</f>
        <v>0.3979166666666666</v>
      </c>
      <c r="I15" s="78">
        <f>IF(Computations!$T15=2,Computations!S15,"")</f>
      </c>
      <c r="J15" s="78">
        <f>IF(ISTEXT($I15),"",$I15+Computations!$E15)</f>
      </c>
      <c r="K15" s="78">
        <f>IF(Computations!$T15=3,Computations!S15,"")</f>
      </c>
      <c r="L15" s="78">
        <f>IF(ISTEXT($K15),"",$K15+Computations!$E15)</f>
      </c>
      <c r="M15" s="78">
        <f>IF(Computations!$T15=4,Computations!S15,"")</f>
      </c>
      <c r="N15" s="78">
        <f>IF(ISTEXT($M15),"",$M15+Computations!$E15)</f>
      </c>
      <c r="O15" s="78">
        <f>IF(Computations!$T15=5,Computations!S15,"")</f>
      </c>
      <c r="P15" s="78">
        <f>IF(ISTEXT($O15),"",$O15+Computations!$E15)</f>
      </c>
      <c r="Q15" s="78">
        <f>IF(Computations!$T15=6,Computations!S15,"")</f>
      </c>
      <c r="R15" s="78">
        <f>IF(ISTEXT($Q15),"",$Q15+Computations!$E15)</f>
      </c>
      <c r="S15" s="78">
        <f>IF(Computations!$T15=7,Computations!S15,"")</f>
      </c>
      <c r="T15" s="78">
        <f>IF(ISTEXT($S15),"",$S15+Computations!$E15)</f>
      </c>
      <c r="U15" s="78">
        <f>IF(Computations!$T15=8,Computations!S15,"")</f>
      </c>
      <c r="V15" s="78">
        <f>IF(ISTEXT($U15),"",$U15+Computations!$E15)</f>
      </c>
      <c r="W15" s="78">
        <f>IF(Computations!$T15=9,Computations!S15,"")</f>
      </c>
      <c r="X15" s="78">
        <f>IF(ISTEXT($W15),"",$W15+Computations!$E15)</f>
      </c>
      <c r="Y15" s="78">
        <f t="shared" si="0"/>
      </c>
      <c r="Z15" s="78">
        <f>IF(D15="renege","",Computations!G15)</f>
        <v>0</v>
      </c>
      <c r="AA15" s="78">
        <f>IF(ISTEXT(Z15),"",$Z15+Computations!$E15)</f>
        <v>0.00625</v>
      </c>
    </row>
    <row r="16" spans="1:27" s="47" customFormat="1" ht="12.75">
      <c r="A16" s="76">
        <f>Computations!A16</f>
        <v>5</v>
      </c>
      <c r="B16" s="77">
        <f>IF(ISTEXT(C16),"",Computations!B16)</f>
        <v>1</v>
      </c>
      <c r="C16" s="78">
        <f>IF(Computations!F16="closed",Computations!F15+Computations!C16,Computations!F16)</f>
        <v>0.39236111111111105</v>
      </c>
      <c r="D16" s="76">
        <f>Computations!H16</f>
      </c>
      <c r="E16" s="78">
        <f>Computations!I16</f>
      </c>
      <c r="F16" s="76">
        <f>IF(ISTEXT(Computations!T16),"",Computations!D16)</f>
        <v>9</v>
      </c>
      <c r="G16" s="78">
        <f>IF(Computations!$T16=1,Computations!S16,"")</f>
      </c>
      <c r="H16" s="78">
        <f>IF(ISTEXT($G16),"",$G16+Computations!$E16)</f>
      </c>
      <c r="I16" s="78">
        <f>IF(Computations!$T16=2,Computations!S16,"")</f>
        <v>0.39236111111111105</v>
      </c>
      <c r="J16" s="78">
        <f>IF(ISTEXT($I16),"",$I16+Computations!$E16)</f>
        <v>0.398611111111111</v>
      </c>
      <c r="K16" s="78">
        <f>IF(Computations!$T16=3,Computations!S16,"")</f>
      </c>
      <c r="L16" s="78">
        <f>IF(ISTEXT($K16),"",$K16+Computations!$E16)</f>
      </c>
      <c r="M16" s="78">
        <f>IF(Computations!$T16=4,Computations!S16,"")</f>
      </c>
      <c r="N16" s="78">
        <f>IF(ISTEXT($M16),"",$M16+Computations!$E16)</f>
      </c>
      <c r="O16" s="78">
        <f>IF(Computations!$T16=5,Computations!S16,"")</f>
      </c>
      <c r="P16" s="78">
        <f>IF(ISTEXT($O16),"",$O16+Computations!$E16)</f>
      </c>
      <c r="Q16" s="78">
        <f>IF(Computations!$T16=6,Computations!S16,"")</f>
      </c>
      <c r="R16" s="78">
        <f>IF(ISTEXT($Q16),"",$Q16+Computations!$E16)</f>
      </c>
      <c r="S16" s="78">
        <f>IF(Computations!$T16=7,Computations!S16,"")</f>
      </c>
      <c r="T16" s="78">
        <f>IF(ISTEXT($S16),"",$S16+Computations!$E16)</f>
      </c>
      <c r="U16" s="78">
        <f>IF(Computations!$T16=8,Computations!S16,"")</f>
      </c>
      <c r="V16" s="78">
        <f>IF(ISTEXT($U16),"",$U16+Computations!$E16)</f>
      </c>
      <c r="W16" s="78">
        <f>IF(Computations!$T16=9,Computations!S16,"")</f>
      </c>
      <c r="X16" s="78">
        <f>IF(ISTEXT($W16),"",$W16+Computations!$E16)</f>
      </c>
      <c r="Y16" s="78">
        <f t="shared" si="0"/>
      </c>
      <c r="Z16" s="78">
        <f>IF(D16="renege","",Computations!G16)</f>
        <v>0</v>
      </c>
      <c r="AA16" s="78">
        <f>IF(ISTEXT(Z16),"",$Z16+Computations!$E16)</f>
        <v>0.00625</v>
      </c>
    </row>
    <row r="17" spans="1:27" s="47" customFormat="1" ht="12.75">
      <c r="A17" s="76">
        <f>Computations!A17</f>
        <v>6</v>
      </c>
      <c r="B17" s="77">
        <f>IF(ISTEXT(C17),"",Computations!B17)</f>
        <v>1</v>
      </c>
      <c r="C17" s="78">
        <f>IF(Computations!F17="closed",Computations!F16+Computations!C17,Computations!F17)</f>
        <v>0.3930555555555555</v>
      </c>
      <c r="D17" s="76">
        <f>Computations!H17</f>
      </c>
      <c r="E17" s="78">
        <f>Computations!I17</f>
      </c>
      <c r="F17" s="76">
        <f>IF(ISTEXT(Computations!T17),"",Computations!D17)</f>
        <v>9</v>
      </c>
      <c r="G17" s="78">
        <f>IF(Computations!$T17=1,Computations!S17,"")</f>
      </c>
      <c r="H17" s="78">
        <f>IF(ISTEXT($G17),"",$G17+Computations!$E17)</f>
      </c>
      <c r="I17" s="78">
        <f>IF(Computations!$T17=2,Computations!S17,"")</f>
      </c>
      <c r="J17" s="78">
        <f>IF(ISTEXT($I17),"",$I17+Computations!$E17)</f>
      </c>
      <c r="K17" s="78">
        <f>IF(Computations!$T17=3,Computations!S17,"")</f>
        <v>0.3930555555555555</v>
      </c>
      <c r="L17" s="78">
        <f>IF(ISTEXT($K17),"",$K17+Computations!$E17)</f>
        <v>0.39930555555555547</v>
      </c>
      <c r="M17" s="78">
        <f>IF(Computations!$T17=4,Computations!S17,"")</f>
      </c>
      <c r="N17" s="78">
        <f>IF(ISTEXT($M17),"",$M17+Computations!$E17)</f>
      </c>
      <c r="O17" s="78">
        <f>IF(Computations!$T17=5,Computations!S17,"")</f>
      </c>
      <c r="P17" s="78">
        <f>IF(ISTEXT($O17),"",$O17+Computations!$E17)</f>
      </c>
      <c r="Q17" s="78">
        <f>IF(Computations!$T17=6,Computations!S17,"")</f>
      </c>
      <c r="R17" s="78">
        <f>IF(ISTEXT($Q17),"",$Q17+Computations!$E17)</f>
      </c>
      <c r="S17" s="78">
        <f>IF(Computations!$T17=7,Computations!S17,"")</f>
      </c>
      <c r="T17" s="78">
        <f>IF(ISTEXT($S17),"",$S17+Computations!$E17)</f>
      </c>
      <c r="U17" s="78">
        <f>IF(Computations!$T17=8,Computations!S17,"")</f>
      </c>
      <c r="V17" s="78">
        <f>IF(ISTEXT($U17),"",$U17+Computations!$E17)</f>
      </c>
      <c r="W17" s="78">
        <f>IF(Computations!$T17=9,Computations!S17,"")</f>
      </c>
      <c r="X17" s="78">
        <f>IF(ISTEXT($W17),"",$W17+Computations!$E17)</f>
      </c>
      <c r="Y17" s="78">
        <f t="shared" si="0"/>
      </c>
      <c r="Z17" s="78">
        <f>IF(D17="renege","",Computations!G17)</f>
        <v>0</v>
      </c>
      <c r="AA17" s="78">
        <f>IF(ISTEXT(Z17),"",$Z17+Computations!$E17)</f>
        <v>0.00625</v>
      </c>
    </row>
    <row r="18" spans="1:27" s="47" customFormat="1" ht="12.75">
      <c r="A18" s="76">
        <f>Computations!A18</f>
        <v>7</v>
      </c>
      <c r="B18" s="77">
        <f>IF(ISTEXT(C18),"",Computations!B18)</f>
        <v>3</v>
      </c>
      <c r="C18" s="78">
        <f>IF(Computations!F18="closed",Computations!F17+Computations!C18,Computations!F18)</f>
        <v>0.3951388888888888</v>
      </c>
      <c r="D18" s="76">
        <f>Computations!H18</f>
      </c>
      <c r="E18" s="78">
        <f>Computations!I18</f>
      </c>
      <c r="F18" s="76">
        <f>IF(ISTEXT(Computations!T18),"",Computations!D18)</f>
        <v>9</v>
      </c>
      <c r="G18" s="78">
        <f>IF(Computations!$T18=1,Computations!S18,"")</f>
      </c>
      <c r="H18" s="78">
        <f>IF(ISTEXT($G18),"",$G18+Computations!$E18)</f>
      </c>
      <c r="I18" s="78">
        <f>IF(Computations!$T18=2,Computations!S18,"")</f>
      </c>
      <c r="J18" s="78">
        <f>IF(ISTEXT($I18),"",$I18+Computations!$E18)</f>
      </c>
      <c r="K18" s="78">
        <f>IF(Computations!$T18=3,Computations!S18,"")</f>
      </c>
      <c r="L18" s="78">
        <f>IF(ISTEXT($K18),"",$K18+Computations!$E18)</f>
      </c>
      <c r="M18" s="78">
        <f>IF(Computations!$T18=4,Computations!S18,"")</f>
        <v>0.3951388888888888</v>
      </c>
      <c r="N18" s="78">
        <f>IF(ISTEXT($M18),"",$M18+Computations!$E18)</f>
        <v>0.4013888888888888</v>
      </c>
      <c r="O18" s="78">
        <f>IF(Computations!$T18=5,Computations!S18,"")</f>
      </c>
      <c r="P18" s="78">
        <f>IF(ISTEXT($O18),"",$O18+Computations!$E18)</f>
      </c>
      <c r="Q18" s="78">
        <f>IF(Computations!$T18=6,Computations!S18,"")</f>
      </c>
      <c r="R18" s="78">
        <f>IF(ISTEXT($Q18),"",$Q18+Computations!$E18)</f>
      </c>
      <c r="S18" s="78">
        <f>IF(Computations!$T18=7,Computations!S18,"")</f>
      </c>
      <c r="T18" s="78">
        <f>IF(ISTEXT($S18),"",$S18+Computations!$E18)</f>
      </c>
      <c r="U18" s="78">
        <f>IF(Computations!$T18=8,Computations!S18,"")</f>
      </c>
      <c r="V18" s="78">
        <f>IF(ISTEXT($U18),"",$U18+Computations!$E18)</f>
      </c>
      <c r="W18" s="78">
        <f>IF(Computations!$T18=9,Computations!S18,"")</f>
      </c>
      <c r="X18" s="78">
        <f>IF(ISTEXT($W18),"",$W18+Computations!$E18)</f>
      </c>
      <c r="Y18" s="78">
        <f t="shared" si="0"/>
      </c>
      <c r="Z18" s="78">
        <f>IF(D18="renege","",Computations!G18)</f>
        <v>0</v>
      </c>
      <c r="AA18" s="78">
        <f>IF(ISTEXT(Z18),"",$Z18+Computations!$E18)</f>
        <v>0.00625</v>
      </c>
    </row>
    <row r="19" spans="1:27" s="47" customFormat="1" ht="12.75">
      <c r="A19" s="76">
        <f>Computations!A19</f>
        <v>8</v>
      </c>
      <c r="B19" s="77">
        <f>IF(ISTEXT(C19),"",Computations!B19)</f>
        <v>5</v>
      </c>
      <c r="C19" s="78">
        <f>IF(Computations!F19="closed",Computations!F18+Computations!C19,Computations!F19)</f>
        <v>0.398611111111111</v>
      </c>
      <c r="D19" s="76">
        <f>Computations!H19</f>
      </c>
      <c r="E19" s="78">
        <f>Computations!I19</f>
      </c>
      <c r="F19" s="76">
        <f>IF(ISTEXT(Computations!T19),"",Computations!D19)</f>
        <v>6</v>
      </c>
      <c r="G19" s="78">
        <f>IF(Computations!$T19=1,Computations!S19,"")</f>
        <v>0.398611111111111</v>
      </c>
      <c r="H19" s="78">
        <f>IF(ISTEXT($G19),"",$G19+Computations!$E19)</f>
        <v>0.4027777777777777</v>
      </c>
      <c r="I19" s="78">
        <f>IF(Computations!$T19=2,Computations!S19,"")</f>
      </c>
      <c r="J19" s="78">
        <f>IF(ISTEXT($I19),"",$I19+Computations!$E19)</f>
      </c>
      <c r="K19" s="78">
        <f>IF(Computations!$T19=3,Computations!S19,"")</f>
      </c>
      <c r="L19" s="78">
        <f>IF(ISTEXT($K19),"",$K19+Computations!$E19)</f>
      </c>
      <c r="M19" s="78">
        <f>IF(Computations!$T19=4,Computations!S19,"")</f>
      </c>
      <c r="N19" s="78">
        <f>IF(ISTEXT($M19),"",$M19+Computations!$E19)</f>
      </c>
      <c r="O19" s="78">
        <f>IF(Computations!$T19=5,Computations!S19,"")</f>
      </c>
      <c r="P19" s="78">
        <f>IF(ISTEXT($O19),"",$O19+Computations!$E19)</f>
      </c>
      <c r="Q19" s="78">
        <f>IF(Computations!$T19=6,Computations!S19,"")</f>
      </c>
      <c r="R19" s="78">
        <f>IF(ISTEXT($Q19),"",$Q19+Computations!$E19)</f>
      </c>
      <c r="S19" s="78">
        <f>IF(Computations!$T19=7,Computations!S19,"")</f>
      </c>
      <c r="T19" s="78">
        <f>IF(ISTEXT($S19),"",$S19+Computations!$E19)</f>
      </c>
      <c r="U19" s="78">
        <f>IF(Computations!$T19=8,Computations!S19,"")</f>
      </c>
      <c r="V19" s="78">
        <f>IF(ISTEXT($U19),"",$U19+Computations!$E19)</f>
      </c>
      <c r="W19" s="78">
        <f>IF(Computations!$T19=9,Computations!S19,"")</f>
      </c>
      <c r="X19" s="78">
        <f>IF(ISTEXT($W19),"",$W19+Computations!$E19)</f>
      </c>
      <c r="Y19" s="78">
        <f t="shared" si="0"/>
      </c>
      <c r="Z19" s="78">
        <f>IF(D19="renege","",Computations!G19)</f>
        <v>0</v>
      </c>
      <c r="AA19" s="78">
        <f>IF(ISTEXT(Z19),"",$Z19+Computations!$E19)</f>
        <v>0.004166666666666667</v>
      </c>
    </row>
    <row r="20" spans="1:27" s="47" customFormat="1" ht="12.75">
      <c r="A20" s="76">
        <f>Computations!A20</f>
        <v>9</v>
      </c>
      <c r="B20" s="77">
        <f>IF(ISTEXT(C20),"",Computations!B20)</f>
        <v>1</v>
      </c>
      <c r="C20" s="78">
        <f>IF(Computations!F20="closed",Computations!F19+Computations!C20,Computations!F20)</f>
        <v>0.39930555555555547</v>
      </c>
      <c r="D20" s="76">
        <f>Computations!H20</f>
      </c>
      <c r="E20" s="78">
        <f>Computations!I20</f>
      </c>
      <c r="F20" s="76">
        <f>IF(ISTEXT(Computations!T20),"",Computations!D20)</f>
        <v>3</v>
      </c>
      <c r="G20" s="78">
        <f>IF(Computations!$T20=1,Computations!S20,"")</f>
      </c>
      <c r="H20" s="78">
        <f>IF(ISTEXT($G20),"",$G20+Computations!$E20)</f>
      </c>
      <c r="I20" s="78">
        <f>IF(Computations!$T20=2,Computations!S20,"")</f>
        <v>0.39930555555555547</v>
      </c>
      <c r="J20" s="78">
        <f>IF(ISTEXT($I20),"",$I20+Computations!$E20)</f>
        <v>0.4013888888888888</v>
      </c>
      <c r="K20" s="78">
        <f>IF(Computations!$T20=3,Computations!S20,"")</f>
      </c>
      <c r="L20" s="78">
        <f>IF(ISTEXT($K20),"",$K20+Computations!$E20)</f>
      </c>
      <c r="M20" s="78">
        <f>IF(Computations!$T20=4,Computations!S20,"")</f>
      </c>
      <c r="N20" s="78">
        <f>IF(ISTEXT($M20),"",$M20+Computations!$E20)</f>
      </c>
      <c r="O20" s="78">
        <f>IF(Computations!$T20=5,Computations!S20,"")</f>
      </c>
      <c r="P20" s="78">
        <f>IF(ISTEXT($O20),"",$O20+Computations!$E20)</f>
      </c>
      <c r="Q20" s="78">
        <f>IF(Computations!$T20=6,Computations!S20,"")</f>
      </c>
      <c r="R20" s="78">
        <f>IF(ISTEXT($Q20),"",$Q20+Computations!$E20)</f>
      </c>
      <c r="S20" s="78">
        <f>IF(Computations!$T20=7,Computations!S20,"")</f>
      </c>
      <c r="T20" s="78">
        <f>IF(ISTEXT($S20),"",$S20+Computations!$E20)</f>
      </c>
      <c r="U20" s="78">
        <f>IF(Computations!$T20=8,Computations!S20,"")</f>
      </c>
      <c r="V20" s="78">
        <f>IF(ISTEXT($U20),"",$U20+Computations!$E20)</f>
      </c>
      <c r="W20" s="78">
        <f>IF(Computations!$T20=9,Computations!S20,"")</f>
      </c>
      <c r="X20" s="78">
        <f>IF(ISTEXT($W20),"",$W20+Computations!$E20)</f>
      </c>
      <c r="Y20" s="78">
        <f t="shared" si="0"/>
      </c>
      <c r="Z20" s="78">
        <f>IF(D20="renege","",Computations!G20)</f>
        <v>0</v>
      </c>
      <c r="AA20" s="78">
        <f>IF(ISTEXT(Z20),"",$Z20+Computations!$E20)</f>
        <v>0.0020833333333333333</v>
      </c>
    </row>
    <row r="21" spans="1:27" s="47" customFormat="1" ht="12.75">
      <c r="A21" s="76">
        <f>Computations!A21</f>
        <v>10</v>
      </c>
      <c r="B21" s="77">
        <f>IF(ISTEXT(C21),"",Computations!B21)</f>
        <v>3</v>
      </c>
      <c r="C21" s="78">
        <f>IF(Computations!F21="closed",Computations!F20+Computations!C21,Computations!F21)</f>
        <v>0.4013888888888888</v>
      </c>
      <c r="D21" s="76">
        <f>Computations!H21</f>
      </c>
      <c r="E21" s="78">
        <f>Computations!I21</f>
      </c>
      <c r="F21" s="76">
        <f>IF(ISTEXT(Computations!T21),"",Computations!D21)</f>
        <v>6</v>
      </c>
      <c r="G21" s="78">
        <f>IF(Computations!$T21=1,Computations!S21,"")</f>
      </c>
      <c r="H21" s="78">
        <f>IF(ISTEXT($G21),"",$G21+Computations!$E21)</f>
      </c>
      <c r="I21" s="78">
        <f>IF(Computations!$T21=2,Computations!S21,"")</f>
        <v>0.4013888888888888</v>
      </c>
      <c r="J21" s="78">
        <f>IF(ISTEXT($I21),"",$I21+Computations!$E21)</f>
        <v>0.40555555555555545</v>
      </c>
      <c r="K21" s="78">
        <f>IF(Computations!$T21=3,Computations!S21,"")</f>
      </c>
      <c r="L21" s="78">
        <f>IF(ISTEXT($K21),"",$K21+Computations!$E21)</f>
      </c>
      <c r="M21" s="78">
        <f>IF(Computations!$T21=4,Computations!S21,"")</f>
      </c>
      <c r="N21" s="78">
        <f>IF(ISTEXT($M21),"",$M21+Computations!$E21)</f>
      </c>
      <c r="O21" s="78">
        <f>IF(Computations!$T21=5,Computations!S21,"")</f>
      </c>
      <c r="P21" s="78">
        <f>IF(ISTEXT($O21),"",$O21+Computations!$E21)</f>
      </c>
      <c r="Q21" s="78">
        <f>IF(Computations!$T21=6,Computations!S21,"")</f>
      </c>
      <c r="R21" s="78">
        <f>IF(ISTEXT($Q21),"",$Q21+Computations!$E21)</f>
      </c>
      <c r="S21" s="78">
        <f>IF(Computations!$T21=7,Computations!S21,"")</f>
      </c>
      <c r="T21" s="78">
        <f>IF(ISTEXT($S21),"",$S21+Computations!$E21)</f>
      </c>
      <c r="U21" s="78">
        <f>IF(Computations!$T21=8,Computations!S21,"")</f>
      </c>
      <c r="V21" s="78">
        <f>IF(ISTEXT($U21),"",$U21+Computations!$E21)</f>
      </c>
      <c r="W21" s="78">
        <f>IF(Computations!$T21=9,Computations!S21,"")</f>
      </c>
      <c r="X21" s="78">
        <f>IF(ISTEXT($W21),"",$W21+Computations!$E21)</f>
      </c>
      <c r="Y21" s="78">
        <f t="shared" si="0"/>
      </c>
      <c r="Z21" s="78">
        <f>IF(D21="renege","",Computations!G21)</f>
        <v>0</v>
      </c>
      <c r="AA21" s="78">
        <f>IF(ISTEXT(Z21),"",$Z21+Computations!$E21)</f>
        <v>0.004166666666666667</v>
      </c>
    </row>
    <row r="22" spans="1:27" s="47" customFormat="1" ht="12.75">
      <c r="A22" s="76">
        <f>Computations!A22</f>
        <v>11</v>
      </c>
      <c r="B22" s="77">
        <f>IF(ISTEXT(C22),"",Computations!B22)</f>
        <v>10</v>
      </c>
      <c r="C22" s="78">
        <f>IF(Computations!F22="closed",Computations!F21+Computations!C22,Computations!F22)</f>
        <v>0.4083333333333332</v>
      </c>
      <c r="D22" s="76">
        <f>Computations!H22</f>
      </c>
      <c r="E22" s="78">
        <f>Computations!I22</f>
      </c>
      <c r="F22" s="76">
        <f>IF(ISTEXT(Computations!T22),"",Computations!D22)</f>
        <v>6</v>
      </c>
      <c r="G22" s="78">
        <f>IF(Computations!$T22=1,Computations!S22,"")</f>
        <v>0.4083333333333332</v>
      </c>
      <c r="H22" s="78">
        <f>IF(ISTEXT($G22),"",$G22+Computations!$E22)</f>
        <v>0.41249999999999987</v>
      </c>
      <c r="I22" s="78">
        <f>IF(Computations!$T22=2,Computations!S22,"")</f>
      </c>
      <c r="J22" s="78">
        <f>IF(ISTEXT($I22),"",$I22+Computations!$E22)</f>
      </c>
      <c r="K22" s="78">
        <f>IF(Computations!$T22=3,Computations!S22,"")</f>
      </c>
      <c r="L22" s="78">
        <f>IF(ISTEXT($K22),"",$K22+Computations!$E22)</f>
      </c>
      <c r="M22" s="78">
        <f>IF(Computations!$T22=4,Computations!S22,"")</f>
      </c>
      <c r="N22" s="78">
        <f>IF(ISTEXT($M22),"",$M22+Computations!$E22)</f>
      </c>
      <c r="O22" s="78">
        <f>IF(Computations!$T22=5,Computations!S22,"")</f>
      </c>
      <c r="P22" s="78">
        <f>IF(ISTEXT($O22),"",$O22+Computations!$E22)</f>
      </c>
      <c r="Q22" s="78">
        <f>IF(Computations!$T22=6,Computations!S22,"")</f>
      </c>
      <c r="R22" s="78">
        <f>IF(ISTEXT($Q22),"",$Q22+Computations!$E22)</f>
      </c>
      <c r="S22" s="78">
        <f>IF(Computations!$T22=7,Computations!S22,"")</f>
      </c>
      <c r="T22" s="78">
        <f>IF(ISTEXT($S22),"",$S22+Computations!$E22)</f>
      </c>
      <c r="U22" s="78">
        <f>IF(Computations!$T22=8,Computations!S22,"")</f>
      </c>
      <c r="V22" s="78">
        <f>IF(ISTEXT($U22),"",$U22+Computations!$E22)</f>
      </c>
      <c r="W22" s="78">
        <f>IF(Computations!$T22=9,Computations!S22,"")</f>
      </c>
      <c r="X22" s="78">
        <f>IF(ISTEXT($W22),"",$W22+Computations!$E22)</f>
      </c>
      <c r="Y22" s="78">
        <f t="shared" si="0"/>
      </c>
      <c r="Z22" s="78">
        <f>IF(D22="renege","",Computations!G22)</f>
        <v>0</v>
      </c>
      <c r="AA22" s="78">
        <f>IF(ISTEXT(Z22),"",$Z22+Computations!$E22)</f>
        <v>0.004166666666666667</v>
      </c>
    </row>
    <row r="23" spans="1:37" ht="12.75">
      <c r="A23" s="76">
        <f>Computations!A23</f>
        <v>12</v>
      </c>
      <c r="B23" s="77">
        <f>IF(ISTEXT(C23),"",Computations!B23)</f>
        <v>1</v>
      </c>
      <c r="C23" s="78">
        <f>IF(Computations!F23="closed",Computations!F22+Computations!C23,Computations!F23)</f>
        <v>0.40902777777777766</v>
      </c>
      <c r="D23" s="76">
        <f>Computations!H23</f>
      </c>
      <c r="E23" s="78">
        <f>Computations!I23</f>
      </c>
      <c r="F23" s="76">
        <f>IF(ISTEXT(Computations!T23),"",Computations!D23)</f>
        <v>3</v>
      </c>
      <c r="G23" s="78">
        <f>IF(Computations!$T23=1,Computations!S23,"")</f>
      </c>
      <c r="H23" s="78">
        <f>IF(ISTEXT($G23),"",$G23+Computations!$E23)</f>
      </c>
      <c r="I23" s="78">
        <f>IF(Computations!$T23=2,Computations!S23,"")</f>
        <v>0.40902777777777766</v>
      </c>
      <c r="J23" s="78">
        <f>IF(ISTEXT($I23),"",$I23+Computations!$E23)</f>
        <v>0.411111111111111</v>
      </c>
      <c r="K23" s="78">
        <f>IF(Computations!$T23=3,Computations!S23,"")</f>
      </c>
      <c r="L23" s="78">
        <f>IF(ISTEXT($K23),"",$K23+Computations!$E23)</f>
      </c>
      <c r="M23" s="78">
        <f>IF(Computations!$T23=4,Computations!S23,"")</f>
      </c>
      <c r="N23" s="78">
        <f>IF(ISTEXT($M23),"",$M23+Computations!$E23)</f>
      </c>
      <c r="O23" s="78">
        <f>IF(Computations!$T23=5,Computations!S23,"")</f>
      </c>
      <c r="P23" s="78">
        <f>IF(ISTEXT($O23),"",$O23+Computations!$E23)</f>
      </c>
      <c r="Q23" s="78">
        <f>IF(Computations!$T23=6,Computations!S23,"")</f>
      </c>
      <c r="R23" s="78">
        <f>IF(ISTEXT($Q23),"",$Q23+Computations!$E23)</f>
      </c>
      <c r="S23" s="78">
        <f>IF(Computations!$T23=7,Computations!S23,"")</f>
      </c>
      <c r="T23" s="78">
        <f>IF(ISTEXT($S23),"",$S23+Computations!$E23)</f>
      </c>
      <c r="U23" s="78">
        <f>IF(Computations!$T23=8,Computations!S23,"")</f>
      </c>
      <c r="V23" s="78">
        <f>IF(ISTEXT($U23),"",$U23+Computations!$E23)</f>
      </c>
      <c r="W23" s="78">
        <f>IF(Computations!$T23=9,Computations!S23,"")</f>
      </c>
      <c r="X23" s="78">
        <f>IF(ISTEXT($W23),"",$W23+Computations!$E23)</f>
      </c>
      <c r="Y23" s="78">
        <f t="shared" si="0"/>
      </c>
      <c r="Z23" s="78">
        <f>IF(D23="renege","",Computations!G23)</f>
        <v>0</v>
      </c>
      <c r="AA23" s="78">
        <f>IF(ISTEXT(Z23),"",$Z23+Computations!$E23)</f>
        <v>0.0020833333333333333</v>
      </c>
      <c r="AK23" s="47"/>
    </row>
    <row r="24" spans="1:27" ht="12.75">
      <c r="A24" s="76">
        <f>Computations!A24</f>
        <v>13</v>
      </c>
      <c r="B24" s="77">
        <f>IF(ISTEXT(C24),"",Computations!B24)</f>
        <v>3</v>
      </c>
      <c r="C24" s="78">
        <f>IF(Computations!F24="closed",Computations!F23+Computations!C24,Computations!F24)</f>
        <v>0.411111111111111</v>
      </c>
      <c r="D24" s="76">
        <f>Computations!H24</f>
      </c>
      <c r="E24" s="78">
        <f>Computations!I24</f>
      </c>
      <c r="F24" s="76">
        <f>IF(ISTEXT(Computations!T24),"",Computations!D24)</f>
        <v>9</v>
      </c>
      <c r="G24" s="78">
        <f>IF(Computations!$T24=1,Computations!S24,"")</f>
      </c>
      <c r="H24" s="78">
        <f>IF(ISTEXT($G24),"",$G24+Computations!$E24)</f>
      </c>
      <c r="I24" s="78">
        <f>IF(Computations!$T24=2,Computations!S24,"")</f>
        <v>0.411111111111111</v>
      </c>
      <c r="J24" s="78">
        <f>IF(ISTEXT($I24),"",$I24+Computations!$E24)</f>
        <v>0.41736111111111096</v>
      </c>
      <c r="K24" s="78">
        <f>IF(Computations!$T24=3,Computations!S24,"")</f>
      </c>
      <c r="L24" s="78">
        <f>IF(ISTEXT($K24),"",$K24+Computations!$E24)</f>
      </c>
      <c r="M24" s="78">
        <f>IF(Computations!$T24=4,Computations!S24,"")</f>
      </c>
      <c r="N24" s="78">
        <f>IF(ISTEXT($M24),"",$M24+Computations!$E24)</f>
      </c>
      <c r="O24" s="78">
        <f>IF(Computations!$T24=5,Computations!S24,"")</f>
      </c>
      <c r="P24" s="78">
        <f>IF(ISTEXT($O24),"",$O24+Computations!$E24)</f>
      </c>
      <c r="Q24" s="78">
        <f>IF(Computations!$T24=6,Computations!S24,"")</f>
      </c>
      <c r="R24" s="78">
        <f>IF(ISTEXT($Q24),"",$Q24+Computations!$E24)</f>
      </c>
      <c r="S24" s="78">
        <f>IF(Computations!$T24=7,Computations!S24,"")</f>
      </c>
      <c r="T24" s="78">
        <f>IF(ISTEXT($S24),"",$S24+Computations!$E24)</f>
      </c>
      <c r="U24" s="78">
        <f>IF(Computations!$T24=8,Computations!S24,"")</f>
      </c>
      <c r="V24" s="78">
        <f>IF(ISTEXT($U24),"",$U24+Computations!$E24)</f>
      </c>
      <c r="W24" s="78">
        <f>IF(Computations!$T24=9,Computations!S24,"")</f>
      </c>
      <c r="X24" s="78">
        <f>IF(ISTEXT($W24),"",$W24+Computations!$E24)</f>
      </c>
      <c r="Y24" s="78">
        <f t="shared" si="0"/>
      </c>
      <c r="Z24" s="78">
        <f>IF(D24="renege","",Computations!G24)</f>
        <v>0</v>
      </c>
      <c r="AA24" s="78">
        <f>IF(ISTEXT(Z24),"",$Z24+Computations!$E24)</f>
        <v>0.00625</v>
      </c>
    </row>
    <row r="25" spans="1:27" ht="12.75">
      <c r="A25" s="76" t="str">
        <f>Computations!A25</f>
        <v>closed</v>
      </c>
      <c r="B25" s="77">
        <f>IF(ISTEXT(C25),"",Computations!B25)</f>
        <v>10</v>
      </c>
      <c r="C25" s="78">
        <f>IF(Computations!F25="closed",Computations!F24+Computations!C25,Computations!F25)</f>
        <v>0.4180555555555554</v>
      </c>
      <c r="D25" s="76">
        <f>Computations!H25</f>
      </c>
      <c r="E25" s="78">
        <f>Computations!I25</f>
      </c>
      <c r="F25" s="76">
        <f>IF(ISTEXT(Computations!T25),"",Computations!D25)</f>
      </c>
      <c r="G25" s="78">
        <f>IF(Computations!$T25=1,Computations!S25,"")</f>
      </c>
      <c r="H25" s="78">
        <f>IF(ISTEXT($G25),"",$G25+Computations!$E25)</f>
      </c>
      <c r="I25" s="78">
        <f>IF(Computations!$T25=2,Computations!S25,"")</f>
      </c>
      <c r="J25" s="78">
        <f>IF(ISTEXT($I25),"",$I25+Computations!$E25)</f>
      </c>
      <c r="K25" s="78">
        <f>IF(Computations!$T25=3,Computations!S25,"")</f>
      </c>
      <c r="L25" s="78">
        <f>IF(ISTEXT($K25),"",$K25+Computations!$E25)</f>
      </c>
      <c r="M25" s="78">
        <f>IF(Computations!$T25=4,Computations!S25,"")</f>
      </c>
      <c r="N25" s="78">
        <f>IF(ISTEXT($M25),"",$M25+Computations!$E25)</f>
      </c>
      <c r="O25" s="78">
        <f>IF(Computations!$T25=5,Computations!S25,"")</f>
      </c>
      <c r="P25" s="78">
        <f>IF(ISTEXT($O25),"",$O25+Computations!$E25)</f>
      </c>
      <c r="Q25" s="78">
        <f>IF(Computations!$T25=6,Computations!S25,"")</f>
      </c>
      <c r="R25" s="78">
        <f>IF(ISTEXT($Q25),"",$Q25+Computations!$E25)</f>
      </c>
      <c r="S25" s="78">
        <f>IF(Computations!$T25=7,Computations!S25,"")</f>
      </c>
      <c r="T25" s="78">
        <f>IF(ISTEXT($S25),"",$S25+Computations!$E25)</f>
      </c>
      <c r="U25" s="78">
        <f>IF(Computations!$T25=8,Computations!S25,"")</f>
      </c>
      <c r="V25" s="78">
        <f>IF(ISTEXT($U25),"",$U25+Computations!$E25)</f>
      </c>
      <c r="W25" s="78">
        <f>IF(Computations!$T25=9,Computations!S25,"")</f>
      </c>
      <c r="X25" s="78">
        <f>IF(ISTEXT($W25),"",$W25+Computations!$E25)</f>
      </c>
      <c r="Y25" s="78">
        <f t="shared" si="0"/>
      </c>
      <c r="Z25" s="78">
        <f>IF(D25="renege","",Computations!G25)</f>
      </c>
      <c r="AA25" s="78">
        <f>IF(ISTEXT(Z25),"",$Z25+Computations!$E25)</f>
      </c>
    </row>
    <row r="26" spans="1:27" ht="12.75">
      <c r="A26" s="76" t="str">
        <f>Computations!A26</f>
        <v>closed</v>
      </c>
      <c r="B26" s="77">
        <f>IF(ISTEXT(C26),"",Computations!B26)</f>
      </c>
      <c r="C26" s="78">
        <f>IF(Computations!F26="closed",Computations!F25+Computations!C26,Computations!F26)</f>
      </c>
      <c r="D26" s="76">
        <f>Computations!H26</f>
      </c>
      <c r="E26" s="78">
        <f>Computations!I26</f>
      </c>
      <c r="F26" s="76">
        <f>IF(ISTEXT(Computations!T26),"",Computations!D26)</f>
      </c>
      <c r="G26" s="78">
        <f>IF(Computations!$T26=1,Computations!S26,"")</f>
      </c>
      <c r="H26" s="78">
        <f>IF(ISTEXT($G26),"",$G26+Computations!$E26)</f>
      </c>
      <c r="I26" s="78">
        <f>IF(Computations!$T26=2,Computations!S26,"")</f>
      </c>
      <c r="J26" s="78">
        <f>IF(ISTEXT($I26),"",$I26+Computations!$E26)</f>
      </c>
      <c r="K26" s="78">
        <f>IF(Computations!$T26=3,Computations!S26,"")</f>
      </c>
      <c r="L26" s="78">
        <f>IF(ISTEXT($K26),"",$K26+Computations!$E26)</f>
      </c>
      <c r="M26" s="78">
        <f>IF(Computations!$T26=4,Computations!S26,"")</f>
      </c>
      <c r="N26" s="78">
        <f>IF(ISTEXT($M26),"",$M26+Computations!$E26)</f>
      </c>
      <c r="O26" s="78">
        <f>IF(Computations!$T26=5,Computations!S26,"")</f>
      </c>
      <c r="P26" s="78">
        <f>IF(ISTEXT($O26),"",$O26+Computations!$E26)</f>
      </c>
      <c r="Q26" s="78">
        <f>IF(Computations!$T26=6,Computations!S26,"")</f>
      </c>
      <c r="R26" s="78">
        <f>IF(ISTEXT($Q26),"",$Q26+Computations!$E26)</f>
      </c>
      <c r="S26" s="78">
        <f>IF(Computations!$T26=7,Computations!S26,"")</f>
      </c>
      <c r="T26" s="78">
        <f>IF(ISTEXT($S26),"",$S26+Computations!$E26)</f>
      </c>
      <c r="U26" s="78">
        <f>IF(Computations!$T26=8,Computations!S26,"")</f>
      </c>
      <c r="V26" s="78">
        <f>IF(ISTEXT($U26),"",$U26+Computations!$E26)</f>
      </c>
      <c r="W26" s="78">
        <f>IF(Computations!$T26=9,Computations!S26,"")</f>
      </c>
      <c r="X26" s="78">
        <f>IF(ISTEXT($W26),"",$W26+Computations!$E26)</f>
      </c>
      <c r="Y26" s="78">
        <f t="shared" si="0"/>
      </c>
      <c r="Z26" s="78">
        <f>IF(D26="renege","",Computations!G26)</f>
      </c>
      <c r="AA26" s="78">
        <f>IF(ISTEXT(Z26),"",$Z26+Computations!$E26)</f>
      </c>
    </row>
    <row r="27" spans="4:5" ht="12.75">
      <c r="D27" s="47"/>
      <c r="E27" s="47"/>
    </row>
    <row r="28" spans="10:33" ht="12.75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AG28" s="2"/>
    </row>
    <row r="29" ht="12.75">
      <c r="AI29" s="50"/>
    </row>
    <row r="31" ht="12.75">
      <c r="AG31" s="2"/>
    </row>
    <row r="32" ht="12.75">
      <c r="AG32" s="2"/>
    </row>
    <row r="33" ht="12.75">
      <c r="AG33" s="2"/>
    </row>
    <row r="34" ht="12.75">
      <c r="AG34" s="2"/>
    </row>
    <row r="35" ht="12.75">
      <c r="AG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zoomScale="75" zoomScaleNormal="75" workbookViewId="0" topLeftCell="M6">
      <selection activeCell="X12" sqref="X12:AF41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1.5742187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8" width="10.57421875" style="52" customWidth="1"/>
    <col min="19" max="19" width="11.7109375" style="53" customWidth="1"/>
    <col min="20" max="20" width="8.00390625" style="52" customWidth="1"/>
    <col min="23" max="16384" width="9.140625" style="51" customWidth="1"/>
  </cols>
  <sheetData>
    <row r="1" spans="1:5" ht="12.75">
      <c r="A1" s="3"/>
      <c r="B1" s="67"/>
      <c r="D1" s="69"/>
      <c r="E1" s="52" t="s">
        <v>40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20" s="54" customFormat="1" ht="12.75">
      <c r="A6" s="4"/>
      <c r="B6" s="60" t="s">
        <v>18</v>
      </c>
      <c r="D6" s="64" t="s">
        <v>12</v>
      </c>
      <c r="G6" s="55" t="s">
        <v>41</v>
      </c>
      <c r="H6" s="55"/>
      <c r="I6" s="56"/>
      <c r="J6" s="55" t="s">
        <v>41</v>
      </c>
      <c r="K6" s="55" t="s">
        <v>41</v>
      </c>
      <c r="L6" s="55" t="s">
        <v>41</v>
      </c>
      <c r="M6" s="55" t="s">
        <v>41</v>
      </c>
      <c r="N6" s="55" t="s">
        <v>41</v>
      </c>
      <c r="O6" s="55" t="s">
        <v>41</v>
      </c>
      <c r="P6" s="55" t="s">
        <v>41</v>
      </c>
      <c r="Q6" s="55" t="s">
        <v>41</v>
      </c>
      <c r="R6" s="55" t="s">
        <v>41</v>
      </c>
      <c r="S6" s="56"/>
      <c r="T6" s="55"/>
    </row>
    <row r="7" spans="1:22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42</v>
      </c>
      <c r="F7" s="55" t="s">
        <v>19</v>
      </c>
      <c r="G7" s="55" t="s">
        <v>30</v>
      </c>
      <c r="H7" s="55"/>
      <c r="I7" s="56" t="s">
        <v>20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49</v>
      </c>
      <c r="Q7" s="55" t="s">
        <v>50</v>
      </c>
      <c r="R7" s="55" t="s">
        <v>51</v>
      </c>
      <c r="S7" s="56" t="s">
        <v>52</v>
      </c>
      <c r="T7" s="55" t="s">
        <v>53</v>
      </c>
      <c r="U7" s="55" t="s">
        <v>12</v>
      </c>
      <c r="V7" s="54" t="s">
        <v>108</v>
      </c>
    </row>
    <row r="8" spans="1:22" s="54" customFormat="1" ht="12.75">
      <c r="A8" s="40" t="s">
        <v>32</v>
      </c>
      <c r="B8" s="60" t="s">
        <v>54</v>
      </c>
      <c r="C8" s="55" t="s">
        <v>15</v>
      </c>
      <c r="D8" s="64" t="s">
        <v>54</v>
      </c>
      <c r="E8" s="55" t="s">
        <v>15</v>
      </c>
      <c r="F8" s="55" t="s">
        <v>15</v>
      </c>
      <c r="G8" s="55" t="s">
        <v>15</v>
      </c>
      <c r="H8" s="55" t="s">
        <v>33</v>
      </c>
      <c r="I8" s="56" t="s">
        <v>34</v>
      </c>
      <c r="J8" s="55" t="s">
        <v>15</v>
      </c>
      <c r="K8" s="55" t="s">
        <v>15</v>
      </c>
      <c r="L8" s="55" t="s">
        <v>15</v>
      </c>
      <c r="M8" s="55" t="s">
        <v>15</v>
      </c>
      <c r="N8" s="55" t="s">
        <v>15</v>
      </c>
      <c r="O8" s="55" t="s">
        <v>15</v>
      </c>
      <c r="P8" s="55" t="s">
        <v>15</v>
      </c>
      <c r="Q8" s="55" t="s">
        <v>15</v>
      </c>
      <c r="R8" s="55" t="s">
        <v>15</v>
      </c>
      <c r="S8" s="56" t="s">
        <v>1</v>
      </c>
      <c r="T8" s="55" t="s">
        <v>55</v>
      </c>
      <c r="U8" s="55" t="s">
        <v>15</v>
      </c>
      <c r="V8" s="54" t="s">
        <v>37</v>
      </c>
    </row>
    <row r="9" spans="1:24" s="54" customFormat="1" ht="13.5" thickBot="1">
      <c r="A9" s="45"/>
      <c r="B9" s="61" t="s">
        <v>16</v>
      </c>
      <c r="C9" s="57" t="s">
        <v>56</v>
      </c>
      <c r="D9" s="65" t="s">
        <v>16</v>
      </c>
      <c r="E9" s="66" t="s">
        <v>56</v>
      </c>
      <c r="F9" s="57" t="s">
        <v>38</v>
      </c>
      <c r="G9" s="57" t="s">
        <v>38</v>
      </c>
      <c r="H9" s="57"/>
      <c r="I9" s="70" t="s">
        <v>38</v>
      </c>
      <c r="J9" s="57" t="s">
        <v>38</v>
      </c>
      <c r="K9" s="57" t="s">
        <v>38</v>
      </c>
      <c r="L9" s="57" t="s">
        <v>38</v>
      </c>
      <c r="M9" s="57" t="s">
        <v>38</v>
      </c>
      <c r="N9" s="57" t="s">
        <v>38</v>
      </c>
      <c r="O9" s="57" t="s">
        <v>38</v>
      </c>
      <c r="P9" s="57" t="s">
        <v>38</v>
      </c>
      <c r="Q9" s="57" t="s">
        <v>38</v>
      </c>
      <c r="R9" s="57" t="s">
        <v>38</v>
      </c>
      <c r="S9" s="57" t="s">
        <v>38</v>
      </c>
      <c r="T9" s="57"/>
      <c r="U9" s="55" t="s">
        <v>107</v>
      </c>
      <c r="X9" s="85" t="s">
        <v>109</v>
      </c>
    </row>
    <row r="10" spans="1:21" ht="12.75">
      <c r="A10" s="47"/>
      <c r="C10" s="52"/>
      <c r="D10" s="62"/>
      <c r="E10" s="52"/>
      <c r="F10" s="52"/>
      <c r="U10" s="82"/>
    </row>
    <row r="11" spans="1:32" ht="12.75">
      <c r="A11" s="76" t="s">
        <v>39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N11" s="53"/>
      <c r="O11" s="53"/>
      <c r="P11" s="53"/>
      <c r="Q11" s="53"/>
      <c r="R11" s="53"/>
      <c r="U11" s="82"/>
      <c r="X11" s="51" t="s">
        <v>110</v>
      </c>
      <c r="Y11" s="51" t="s">
        <v>111</v>
      </c>
      <c r="Z11" s="51" t="s">
        <v>112</v>
      </c>
      <c r="AA11" s="51" t="s">
        <v>113</v>
      </c>
      <c r="AB11" s="51" t="s">
        <v>114</v>
      </c>
      <c r="AC11" s="51" t="s">
        <v>115</v>
      </c>
      <c r="AD11" s="51" t="s">
        <v>116</v>
      </c>
      <c r="AE11" s="51" t="s">
        <v>117</v>
      </c>
      <c r="AF11" s="51" t="s">
        <v>118</v>
      </c>
    </row>
    <row r="12" spans="1:32" ht="12.75">
      <c r="A12" s="76">
        <f>IF(ISTEXT(F12),"closed",1)</f>
        <v>1</v>
      </c>
      <c r="B12" s="62">
        <f ca="1">VLOOKUP(RAND(),arrival,3)</f>
        <v>10</v>
      </c>
      <c r="C12" s="79">
        <f>B12/1440</f>
        <v>0.006944444444444444</v>
      </c>
      <c r="D12" s="62">
        <f ca="1">VLOOKUP(RAND(),service,3)</f>
        <v>6</v>
      </c>
      <c r="E12" s="79">
        <f>D12/1440</f>
        <v>0.004166666666666667</v>
      </c>
      <c r="F12" s="79">
        <f>IF(ISTEXT(F11),"",IF(F11+C12&gt;=close_time,"closed",F11+C12))</f>
        <v>0.3819444444444444</v>
      </c>
      <c r="G12" s="79">
        <f>IF(ISTEXT(F12),"",S12-F12)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0.3819444444444444</v>
      </c>
      <c r="K12" s="79">
        <f>IF(ISTEXT($F12),"",MAX(Simulation!J$11:J11,start_time,$F12))</f>
        <v>0.3819444444444444</v>
      </c>
      <c r="L12" s="79">
        <f>IF(ISTEXT($F12),"",MAX(Simulation!L$11:L11,start_time,$F12))</f>
        <v>0.3819444444444444</v>
      </c>
      <c r="M12" s="79">
        <f>IF(ISTEXT($F12),"",MAX(Simulation!N$11:N11,start_time,$F12))</f>
        <v>0.3819444444444444</v>
      </c>
      <c r="N12" s="79">
        <f>IF(ISTEXT($F12),"",MAX(Simulation!P$11:P11,start_time,$F12))</f>
        <v>0.3819444444444444</v>
      </c>
      <c r="O12" s="79">
        <f>IF(ISTEXT($F12),"",MAX(Simulation!R$11:R11,start_time,$F12))</f>
        <v>0.3819444444444444</v>
      </c>
      <c r="P12" s="79">
        <f>IF(ISTEXT($F12),"",MAX(Simulation!T$11:T11,start_time,$F12))</f>
        <v>0.3819444444444444</v>
      </c>
      <c r="Q12" s="79">
        <f>IF(ISTEXT($F12),"",MAX(Simulation!V$11:V11,start_time,$F12))</f>
        <v>0.3819444444444444</v>
      </c>
      <c r="R12" s="79">
        <f>IF(ISTEXT($F12),"",MAX(Simulation!X$11:X11,start_time,$F12))</f>
        <v>0.3819444444444444</v>
      </c>
      <c r="S12" s="79">
        <f>IF(ISTEXT(F12),"",MIN(J12:R12))</f>
        <v>0.3819444444444444</v>
      </c>
      <c r="T12" s="80">
        <f>IF(OR(ISTEXT(F12),H12="renege"),"",MATCH(S12,J12:R12,0))</f>
        <v>1</v>
      </c>
      <c r="U12" s="83">
        <f>IF(H12="renege","",E12)</f>
        <v>0.004166666666666667</v>
      </c>
      <c r="V12" s="84">
        <f>IF(Simulation!Z12="",Simulation!Y12,Simulation!Z12)</f>
        <v>0</v>
      </c>
      <c r="X12" s="86">
        <f>IF(ISNUMBER(SMALL(Simulation!$G$12:Simulation!$H$26,1)),SMALL(Simulation!$G$12:Simulation!$H$26,1),1)</f>
        <v>0.3819444444444444</v>
      </c>
      <c r="Y12" s="86">
        <f>IF(ISNUMBER(SMALL(Simulation!$I$12:Simulation!$J$26,1)),SMALL(Simulation!$I$12:Simulation!$J$26,1),1)</f>
        <v>0.38402777777777775</v>
      </c>
      <c r="Z12" s="86">
        <f>IF(ISNUMBER(SMALL(Simulation!$K$12:Simulation!$L$26,1)),SMALL(Simulation!$K$12:Simulation!$L$26,1),1)</f>
        <v>0.3847222222222222</v>
      </c>
      <c r="AA12" s="86">
        <f>IF(ISNUMBER(SMALL(Simulation!$M$12:Simulation!$N$26,1)),SMALL(Simulation!$M$12:Simulation!$N$26,1),1)</f>
        <v>0.3951388888888888</v>
      </c>
      <c r="AB12" s="86">
        <f>IF(ISNUMBER(SMALL(Simulation!$O$12:Simulation!$P$26,1)),SMALL(Simulation!$O$12:Simulation!$P$26,1),1)</f>
        <v>1</v>
      </c>
      <c r="AC12" s="86">
        <f>IF(ISNUMBER(SMALL(Simulation!$Q$12:Simulation!$R$26,1)),SMALL(Simulation!$Q$12:Simulation!$R$26,1),1)</f>
        <v>1</v>
      </c>
      <c r="AD12" s="86">
        <f>IF(ISNUMBER(SMALL(Simulation!$S$12:Simulation!$T$26,1)),SMALL(Simulation!$S$12:Simulation!$T$26,1),1)</f>
        <v>1</v>
      </c>
      <c r="AE12" s="86">
        <f>IF(ISNUMBER(SMALL(Simulation!$U$12:Simulation!$V$26,1)),SMALL(Simulation!$U$12:Simulation!$V$26,1),1)</f>
        <v>1</v>
      </c>
      <c r="AF12" s="86">
        <f>IF(ISNUMBER(SMALL(Simulation!$W$12:Simulation!$X$26,1)),SMALL(Simulation!$W$12:Simulation!$X$26,1),1)</f>
        <v>1</v>
      </c>
    </row>
    <row r="13" spans="1:32" ht="12.75">
      <c r="A13" s="76">
        <f>IF(ISTEXT(F13),"closed",A12+1)</f>
        <v>2</v>
      </c>
      <c r="B13" s="62">
        <f aca="true" ca="1" t="shared" si="1" ref="B13:B26">VLOOKUP(RAND(),arrival,3)</f>
        <v>3</v>
      </c>
      <c r="C13" s="79">
        <f aca="true" t="shared" si="2" ref="C13:C26">B13/1440</f>
        <v>0.0020833333333333333</v>
      </c>
      <c r="D13" s="62">
        <f aca="true" ca="1" t="shared" si="3" ref="D13:D26">VLOOKUP(RAND(),service,3)</f>
        <v>9</v>
      </c>
      <c r="E13" s="79">
        <f aca="true" t="shared" si="4" ref="E13:E26">D13/1440</f>
        <v>0.00625</v>
      </c>
      <c r="F13" s="79">
        <f aca="true" t="shared" si="5" ref="F13:F26">IF(ISTEXT(F12),"",IF(F12+C13&gt;=close_time,"closed",F12+C13))</f>
        <v>0.38402777777777775</v>
      </c>
      <c r="G13" s="79">
        <f aca="true" t="shared" si="6" ref="G13:G26">IF(ISTEXT(F13),"",S13-F13)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0.38611111111111107</v>
      </c>
      <c r="K13" s="79">
        <f>IF(ISTEXT($F13),"",MAX(Simulation!J$11:J12,start_time,$F13))</f>
        <v>0.38402777777777775</v>
      </c>
      <c r="L13" s="79">
        <f>IF(ISTEXT($F13),"",MAX(Simulation!L$11:L12,start_time,$F13))</f>
        <v>0.38402777777777775</v>
      </c>
      <c r="M13" s="79">
        <f>IF(ISTEXT($F13),"",MAX(Simulation!N$11:N12,start_time,$F13))</f>
        <v>0.38402777777777775</v>
      </c>
      <c r="N13" s="79">
        <f>IF(ISTEXT($F13),"",MAX(Simulation!P$11:P12,start_time,$F13))</f>
        <v>0.38402777777777775</v>
      </c>
      <c r="O13" s="79">
        <f>IF(ISTEXT($F13),"",MAX(Simulation!R$11:R12,start_time,$F13))</f>
        <v>0.38402777777777775</v>
      </c>
      <c r="P13" s="79">
        <f>IF(ISTEXT($F13),"",MAX(Simulation!T$11:T12,start_time,$F13))</f>
        <v>0.38402777777777775</v>
      </c>
      <c r="Q13" s="79">
        <f>IF(ISTEXT($F13),"",MAX(Simulation!V$11:V12,start_time,$F13))</f>
        <v>0.38402777777777775</v>
      </c>
      <c r="R13" s="79">
        <f>IF(ISTEXT($F13),"",MAX(Simulation!X$11:X12,start_time,$F13))</f>
        <v>0.38402777777777775</v>
      </c>
      <c r="S13" s="79">
        <f aca="true" t="shared" si="8" ref="S13:S26">IF(ISTEXT(F13),"",MIN(J13:R13))</f>
        <v>0.38402777777777775</v>
      </c>
      <c r="T13" s="80">
        <f aca="true" t="shared" si="9" ref="T13:T26">IF(OR(ISTEXT(F13),H13="renege"),"",MATCH(S13,J13:R13,0))</f>
        <v>2</v>
      </c>
      <c r="U13" s="83">
        <f>IF(H13="renege","",E13)</f>
        <v>0.00625</v>
      </c>
      <c r="V13" s="84">
        <f>IF(Simulation!Z13="",Simulation!Y13,Simulation!Z13)</f>
        <v>0</v>
      </c>
      <c r="X13" s="86">
        <f>IF(ISNUMBER(SMALL(Simulation!$G$12:Simulation!$H$26,2)),SMALL(Simulation!$G$12:Simulation!$H$26,2),1)</f>
        <v>0.38611111111111107</v>
      </c>
      <c r="Y13" s="86">
        <f>IF(ISNUMBER(SMALL(Simulation!$I$12:Simulation!$J$26,2)),SMALL(Simulation!$I$12:Simulation!$J$26,2),1)</f>
        <v>0.3902777777777777</v>
      </c>
      <c r="Z13" s="86">
        <f>IF(ISNUMBER(SMALL(Simulation!$K$12:Simulation!$L$26,2)),SMALL(Simulation!$K$12:Simulation!$L$26,2),1)</f>
        <v>0.38888888888888884</v>
      </c>
      <c r="AA13" s="86">
        <f>IF(ISNUMBER(SMALL(Simulation!$M$12:Simulation!$N$26,2)),SMALL(Simulation!$M$12:Simulation!$N$26,2),1)</f>
        <v>0.4013888888888888</v>
      </c>
      <c r="AB13" s="86">
        <f>IF(ISNUMBER(SMALL(Simulation!$O$12:Simulation!$P$26,2)),SMALL(Simulation!$O$12:Simulation!$P$26,2),1)</f>
        <v>1</v>
      </c>
      <c r="AC13" s="86">
        <f>IF(ISNUMBER(SMALL(Simulation!$Q$12:Simulation!$R$26,2)),SMALL(Simulation!$Q$12:Simulation!$R$26,2),1)</f>
        <v>1</v>
      </c>
      <c r="AD13" s="86">
        <f>IF(ISNUMBER(SMALL(Simulation!$S$12:Simulation!$T$26,2)),SMALL(Simulation!$S$12:Simulation!$T$26,2),1)</f>
        <v>1</v>
      </c>
      <c r="AE13" s="86">
        <f>IF(ISNUMBER(SMALL(Simulation!$U$12:Simulation!$V$26,2)),SMALL(Simulation!$U$12:Simulation!$V$26,2),1)</f>
        <v>1</v>
      </c>
      <c r="AF13" s="86">
        <f>IF(ISNUMBER(SMALL(Simulation!$W$12:Simulation!$X$26,2)),SMALL(Simulation!$W$12:Simulation!$X$26,2),1)</f>
        <v>1</v>
      </c>
    </row>
    <row r="14" spans="1:32" ht="12.75">
      <c r="A14" s="76">
        <f aca="true" t="shared" si="10" ref="A14:A26">IF(ISTEXT(F14),"closed",A13+1)</f>
        <v>3</v>
      </c>
      <c r="B14" s="62">
        <f ca="1" t="shared" si="1"/>
        <v>1</v>
      </c>
      <c r="C14" s="79">
        <f t="shared" si="2"/>
        <v>0.0006944444444444445</v>
      </c>
      <c r="D14" s="62">
        <f ca="1" t="shared" si="3"/>
        <v>6</v>
      </c>
      <c r="E14" s="79">
        <f t="shared" si="4"/>
        <v>0.004166666666666667</v>
      </c>
      <c r="F14" s="79">
        <f t="shared" si="5"/>
        <v>0.3847222222222222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0.38611111111111107</v>
      </c>
      <c r="K14" s="79">
        <f>IF(ISTEXT($F14),"",MAX(Simulation!J$11:J13,start_time,$F14))</f>
        <v>0.3902777777777777</v>
      </c>
      <c r="L14" s="79">
        <f>IF(ISTEXT($F14),"",MAX(Simulation!L$11:L13,start_time,$F14))</f>
        <v>0.3847222222222222</v>
      </c>
      <c r="M14" s="79">
        <f>IF(ISTEXT($F14),"",MAX(Simulation!N$11:N13,start_time,$F14))</f>
        <v>0.3847222222222222</v>
      </c>
      <c r="N14" s="79">
        <f>IF(ISTEXT($F14),"",MAX(Simulation!P$11:P13,start_time,$F14))</f>
        <v>0.3847222222222222</v>
      </c>
      <c r="O14" s="79">
        <f>IF(ISTEXT($F14),"",MAX(Simulation!R$11:R13,start_time,$F14))</f>
        <v>0.3847222222222222</v>
      </c>
      <c r="P14" s="79">
        <f>IF(ISTEXT($F14),"",MAX(Simulation!T$11:T13,start_time,$F14))</f>
        <v>0.3847222222222222</v>
      </c>
      <c r="Q14" s="79">
        <f>IF(ISTEXT($F14),"",MAX(Simulation!V$11:V13,start_time,$F14))</f>
        <v>0.3847222222222222</v>
      </c>
      <c r="R14" s="79">
        <f>IF(ISTEXT($F14),"",MAX(Simulation!X$11:X13,start_time,$F14))</f>
        <v>0.3847222222222222</v>
      </c>
      <c r="S14" s="79">
        <f t="shared" si="8"/>
        <v>0.3847222222222222</v>
      </c>
      <c r="T14" s="80">
        <f t="shared" si="9"/>
        <v>3</v>
      </c>
      <c r="U14" s="83">
        <f>IF(H14="renege","",E14)</f>
        <v>0.004166666666666667</v>
      </c>
      <c r="V14" s="84">
        <f>IF(Simulation!Z14="",Simulation!Y14,Simulation!Z14)</f>
        <v>0</v>
      </c>
      <c r="X14" s="86">
        <f>IF(ISNUMBER(SMALL(Simulation!$G$12:Simulation!$H$26,3)),SMALL(Simulation!$G$12:Simulation!$H$26,3),1)</f>
        <v>0.3916666666666666</v>
      </c>
      <c r="Y14" s="86">
        <f>IF(ISNUMBER(SMALL(Simulation!$I$12:Simulation!$J$26,3)),SMALL(Simulation!$I$12:Simulation!$J$26,3),1)</f>
        <v>0.39236111111111105</v>
      </c>
      <c r="Z14" s="86">
        <f>IF(ISNUMBER(SMALL(Simulation!$K$12:Simulation!$L$26,3)),SMALL(Simulation!$K$12:Simulation!$L$26,3),1)</f>
        <v>0.3930555555555555</v>
      </c>
      <c r="AA14" s="86">
        <f>IF(ISNUMBER(SMALL(Simulation!$M$12:Simulation!$N$26,3)),SMALL(Simulation!$M$12:Simulation!$N$26,3),1)</f>
        <v>1</v>
      </c>
      <c r="AB14" s="86">
        <f>IF(ISNUMBER(SMALL(Simulation!$O$12:Simulation!$P$26,3)),SMALL(Simulation!$O$12:Simulation!$P$26,3),1)</f>
        <v>1</v>
      </c>
      <c r="AC14" s="86">
        <f>IF(ISNUMBER(SMALL(Simulation!$Q$12:Simulation!$R$26,3)),SMALL(Simulation!$Q$12:Simulation!$R$26,3),1)</f>
        <v>1</v>
      </c>
      <c r="AD14" s="86">
        <f>IF(ISNUMBER(SMALL(Simulation!$S$12:Simulation!$T$26,3)),SMALL(Simulation!$S$12:Simulation!$T$26,3),1)</f>
        <v>1</v>
      </c>
      <c r="AE14" s="86">
        <f>IF(ISNUMBER(SMALL(Simulation!$U$12:Simulation!$V$26,3)),SMALL(Simulation!$U$12:Simulation!$V$26,3),1)</f>
        <v>1</v>
      </c>
      <c r="AF14" s="86">
        <f>IF(ISNUMBER(SMALL(Simulation!$W$12:Simulation!$X$26,3)),SMALL(Simulation!$W$12:Simulation!$X$26,3),1)</f>
        <v>1</v>
      </c>
    </row>
    <row r="15" spans="1:32" ht="12.75">
      <c r="A15" s="76">
        <f t="shared" si="10"/>
        <v>4</v>
      </c>
      <c r="B15" s="62">
        <f ca="1" t="shared" si="1"/>
        <v>10</v>
      </c>
      <c r="C15" s="79">
        <f t="shared" si="2"/>
        <v>0.006944444444444444</v>
      </c>
      <c r="D15" s="62">
        <f ca="1" t="shared" si="3"/>
        <v>9</v>
      </c>
      <c r="E15" s="79">
        <f t="shared" si="4"/>
        <v>0.00625</v>
      </c>
      <c r="F15" s="79">
        <f t="shared" si="5"/>
        <v>0.3916666666666666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0.3916666666666666</v>
      </c>
      <c r="K15" s="79">
        <f>IF(ISTEXT($F15),"",MAX(Simulation!J$11:J14,start_time,$F15))</f>
        <v>0.3916666666666666</v>
      </c>
      <c r="L15" s="79">
        <f>IF(ISTEXT($F15),"",MAX(Simulation!L$11:L14,start_time,$F15))</f>
        <v>0.3916666666666666</v>
      </c>
      <c r="M15" s="79">
        <f>IF(ISTEXT($F15),"",MAX(Simulation!N$11:N14,start_time,$F15))</f>
        <v>0.3916666666666666</v>
      </c>
      <c r="N15" s="79">
        <f>IF(ISTEXT($F15),"",MAX(Simulation!P$11:P14,start_time,$F15))</f>
        <v>0.3916666666666666</v>
      </c>
      <c r="O15" s="79">
        <f>IF(ISTEXT($F15),"",MAX(Simulation!R$11:R14,start_time,$F15))</f>
        <v>0.3916666666666666</v>
      </c>
      <c r="P15" s="79">
        <f>IF(ISTEXT($F15),"",MAX(Simulation!T$11:T14,start_time,$F15))</f>
        <v>0.3916666666666666</v>
      </c>
      <c r="Q15" s="79">
        <f>IF(ISTEXT($F15),"",MAX(Simulation!V$11:V14,start_time,$F15))</f>
        <v>0.3916666666666666</v>
      </c>
      <c r="R15" s="79">
        <f>IF(ISTEXT($F15),"",MAX(Simulation!X$11:X14,start_time,$F15))</f>
        <v>0.3916666666666666</v>
      </c>
      <c r="S15" s="79">
        <f t="shared" si="8"/>
        <v>0.3916666666666666</v>
      </c>
      <c r="T15" s="80">
        <f t="shared" si="9"/>
        <v>1</v>
      </c>
      <c r="U15" s="83">
        <f>IF(H15="renege","",E15)</f>
        <v>0.00625</v>
      </c>
      <c r="V15" s="84">
        <f>IF(Simulation!Z15="",Simulation!Y15,Simulation!Z15)</f>
        <v>0</v>
      </c>
      <c r="X15" s="86">
        <f>IF(ISNUMBER(SMALL(Simulation!$G$12:Simulation!$H$26,4)),SMALL(Simulation!$G$12:Simulation!$H$26,4),1)</f>
        <v>0.3979166666666666</v>
      </c>
      <c r="Y15" s="86">
        <f>IF(ISNUMBER(SMALL(Simulation!$I$12:Simulation!$J$26,4)),SMALL(Simulation!$I$12:Simulation!$J$26,4),1)</f>
        <v>0.398611111111111</v>
      </c>
      <c r="Z15" s="86">
        <f>IF(ISNUMBER(SMALL(Simulation!$K$12:Simulation!$L$26,4)),SMALL(Simulation!$K$12:Simulation!$L$26,4),1)</f>
        <v>0.39930555555555547</v>
      </c>
      <c r="AA15" s="86">
        <f>IF(ISNUMBER(SMALL(Simulation!$M$12:Simulation!$N$26,4)),SMALL(Simulation!$M$12:Simulation!$N$26,4),1)</f>
        <v>1</v>
      </c>
      <c r="AB15" s="86">
        <f>IF(ISNUMBER(SMALL(Simulation!$O$12:Simulation!$P$26,4)),SMALL(Simulation!$O$12:Simulation!$P$26,4),1)</f>
        <v>1</v>
      </c>
      <c r="AC15" s="86">
        <f>IF(ISNUMBER(SMALL(Simulation!$Q$12:Simulation!$R$26,4)),SMALL(Simulation!$Q$12:Simulation!$R$26,4),1)</f>
        <v>1</v>
      </c>
      <c r="AD15" s="86">
        <f>IF(ISNUMBER(SMALL(Simulation!$S$12:Simulation!$T$26,4)),SMALL(Simulation!$S$12:Simulation!$T$26,4),1)</f>
        <v>1</v>
      </c>
      <c r="AE15" s="86">
        <f>IF(ISNUMBER(SMALL(Simulation!$U$12:Simulation!$V$26,4)),SMALL(Simulation!$U$12:Simulation!$V$26,4),1)</f>
        <v>1</v>
      </c>
      <c r="AF15" s="86">
        <f>IF(ISNUMBER(SMALL(Simulation!$W$12:Simulation!$X$26,4)),SMALL(Simulation!$W$12:Simulation!$X$26,4),1)</f>
        <v>1</v>
      </c>
    </row>
    <row r="16" spans="1:32" ht="12.75">
      <c r="A16" s="76">
        <f t="shared" si="10"/>
        <v>5</v>
      </c>
      <c r="B16" s="62">
        <f ca="1" t="shared" si="1"/>
        <v>1</v>
      </c>
      <c r="C16" s="79">
        <f t="shared" si="2"/>
        <v>0.0006944444444444445</v>
      </c>
      <c r="D16" s="62">
        <f ca="1" t="shared" si="3"/>
        <v>9</v>
      </c>
      <c r="E16" s="79">
        <f t="shared" si="4"/>
        <v>0.00625</v>
      </c>
      <c r="F16" s="79">
        <f t="shared" si="5"/>
        <v>0.39236111111111105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0.3979166666666666</v>
      </c>
      <c r="K16" s="79">
        <f>IF(ISTEXT($F16),"",MAX(Simulation!J$11:J15,start_time,$F16))</f>
        <v>0.39236111111111105</v>
      </c>
      <c r="L16" s="79">
        <f>IF(ISTEXT($F16),"",MAX(Simulation!L$11:L15,start_time,$F16))</f>
        <v>0.39236111111111105</v>
      </c>
      <c r="M16" s="79">
        <f>IF(ISTEXT($F16),"",MAX(Simulation!N$11:N15,start_time,$F16))</f>
        <v>0.39236111111111105</v>
      </c>
      <c r="N16" s="79">
        <f>IF(ISTEXT($F16),"",MAX(Simulation!P$11:P15,start_time,$F16))</f>
        <v>0.39236111111111105</v>
      </c>
      <c r="O16" s="79">
        <f>IF(ISTEXT($F16),"",MAX(Simulation!R$11:R15,start_time,$F16))</f>
        <v>0.39236111111111105</v>
      </c>
      <c r="P16" s="79">
        <f>IF(ISTEXT($F16),"",MAX(Simulation!T$11:T15,start_time,$F16))</f>
        <v>0.39236111111111105</v>
      </c>
      <c r="Q16" s="79">
        <f>IF(ISTEXT($F16),"",MAX(Simulation!V$11:V15,start_time,$F16))</f>
        <v>0.39236111111111105</v>
      </c>
      <c r="R16" s="79">
        <f>IF(ISTEXT($F16),"",MAX(Simulation!X$11:X15,start_time,$F16))</f>
        <v>0.39236111111111105</v>
      </c>
      <c r="S16" s="79">
        <f t="shared" si="8"/>
        <v>0.39236111111111105</v>
      </c>
      <c r="T16" s="80">
        <f t="shared" si="9"/>
        <v>2</v>
      </c>
      <c r="U16" s="83">
        <f>IF(H16="renege","",E16)</f>
        <v>0.00625</v>
      </c>
      <c r="V16" s="84">
        <f>IF(Simulation!Z16="",Simulation!Y16,Simulation!Z16)</f>
        <v>0</v>
      </c>
      <c r="X16" s="86">
        <f>IF(ISNUMBER(SMALL(Simulation!$G$12:Simulation!$H$26,5)),SMALL(Simulation!$G$12:Simulation!$H$26,5),1)</f>
        <v>0.398611111111111</v>
      </c>
      <c r="Y16" s="86">
        <f>IF(ISNUMBER(SMALL(Simulation!$I$12:Simulation!$J$26,5)),SMALL(Simulation!$I$12:Simulation!$J$26,5),1)</f>
        <v>0.39930555555555547</v>
      </c>
      <c r="Z16" s="86">
        <f>IF(ISNUMBER(SMALL(Simulation!$K$12:Simulation!$L$26,5)),SMALL(Simulation!$K$12:Simulation!$L$26,5),1)</f>
        <v>1</v>
      </c>
      <c r="AA16" s="86">
        <f>IF(ISNUMBER(SMALL(Simulation!$M$12:Simulation!$N$26,5)),SMALL(Simulation!$M$12:Simulation!$N$26,5),1)</f>
        <v>1</v>
      </c>
      <c r="AB16" s="86">
        <f>IF(ISNUMBER(SMALL(Simulation!$O$12:Simulation!$P$26,5)),SMALL(Simulation!$O$12:Simulation!$P$26,5),1)</f>
        <v>1</v>
      </c>
      <c r="AC16" s="86">
        <f>IF(ISNUMBER(SMALL(Simulation!$Q$12:Simulation!$R$26,5)),SMALL(Simulation!$Q$12:Simulation!$R$26,5),1)</f>
        <v>1</v>
      </c>
      <c r="AD16" s="86">
        <f>IF(ISNUMBER(SMALL(Simulation!$S$12:Simulation!$T$26,5)),SMALL(Simulation!$S$12:Simulation!$T$26,5),1)</f>
        <v>1</v>
      </c>
      <c r="AE16" s="86">
        <f>IF(ISNUMBER(SMALL(Simulation!$U$12:Simulation!$V$26,5)),SMALL(Simulation!$U$12:Simulation!$V$26,5),1)</f>
        <v>1</v>
      </c>
      <c r="AF16" s="86">
        <f>IF(ISNUMBER(SMALL(Simulation!$W$12:Simulation!$X$26,5)),SMALL(Simulation!$W$12:Simulation!$X$26,5),1)</f>
        <v>1</v>
      </c>
    </row>
    <row r="17" spans="1:32" ht="12.75">
      <c r="A17" s="76">
        <f t="shared" si="10"/>
        <v>6</v>
      </c>
      <c r="B17" s="62">
        <f ca="1" t="shared" si="1"/>
        <v>1</v>
      </c>
      <c r="C17" s="79">
        <f t="shared" si="2"/>
        <v>0.0006944444444444445</v>
      </c>
      <c r="D17" s="62">
        <f ca="1" t="shared" si="3"/>
        <v>9</v>
      </c>
      <c r="E17" s="79">
        <f t="shared" si="4"/>
        <v>0.00625</v>
      </c>
      <c r="F17" s="79">
        <f t="shared" si="5"/>
        <v>0.3930555555555555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0.3979166666666666</v>
      </c>
      <c r="K17" s="79">
        <f>IF(ISTEXT($F17),"",MAX(Simulation!J$11:J16,start_time,$F17))</f>
        <v>0.398611111111111</v>
      </c>
      <c r="L17" s="79">
        <f>IF(ISTEXT($F17),"",MAX(Simulation!L$11:L16,start_time,$F17))</f>
        <v>0.3930555555555555</v>
      </c>
      <c r="M17" s="79">
        <f>IF(ISTEXT($F17),"",MAX(Simulation!N$11:N16,start_time,$F17))</f>
        <v>0.3930555555555555</v>
      </c>
      <c r="N17" s="79">
        <f>IF(ISTEXT($F17),"",MAX(Simulation!P$11:P16,start_time,$F17))</f>
        <v>0.3930555555555555</v>
      </c>
      <c r="O17" s="79">
        <f>IF(ISTEXT($F17),"",MAX(Simulation!R$11:R16,start_time,$F17))</f>
        <v>0.3930555555555555</v>
      </c>
      <c r="P17" s="79">
        <f>IF(ISTEXT($F17),"",MAX(Simulation!T$11:T16,start_time,$F17))</f>
        <v>0.3930555555555555</v>
      </c>
      <c r="Q17" s="79">
        <f>IF(ISTEXT($F17),"",MAX(Simulation!V$11:V16,start_time,$F17))</f>
        <v>0.3930555555555555</v>
      </c>
      <c r="R17" s="79">
        <f>IF(ISTEXT($F17),"",MAX(Simulation!X$11:X16,start_time,$F17))</f>
        <v>0.3930555555555555</v>
      </c>
      <c r="S17" s="79">
        <f t="shared" si="8"/>
        <v>0.3930555555555555</v>
      </c>
      <c r="T17" s="80">
        <f t="shared" si="9"/>
        <v>3</v>
      </c>
      <c r="U17" s="83">
        <f>IF(H17="renege","",E17)</f>
        <v>0.00625</v>
      </c>
      <c r="V17" s="84">
        <f>IF(Simulation!Z17="",Simulation!Y17,Simulation!Z17)</f>
        <v>0</v>
      </c>
      <c r="X17" s="86">
        <f>IF(ISNUMBER(SMALL(Simulation!$G$12:Simulation!$H$26,6)),SMALL(Simulation!$G$12:Simulation!$H$26,6),1)</f>
        <v>0.4027777777777777</v>
      </c>
      <c r="Y17" s="86">
        <f>IF(ISNUMBER(SMALL(Simulation!$I$12:Simulation!$J$26,6)),SMALL(Simulation!$I$12:Simulation!$J$26,6),1)</f>
        <v>0.4013888888888888</v>
      </c>
      <c r="Z17" s="86">
        <f>IF(ISNUMBER(SMALL(Simulation!$K$12:Simulation!$L$26,6)),SMALL(Simulation!$K$12:Simulation!$L$26,6),1)</f>
        <v>1</v>
      </c>
      <c r="AA17" s="86">
        <f>IF(ISNUMBER(SMALL(Simulation!$M$12:Simulation!$N$26,6)),SMALL(Simulation!$M$12:Simulation!$N$26,6),1)</f>
        <v>1</v>
      </c>
      <c r="AB17" s="86">
        <f>IF(ISNUMBER(SMALL(Simulation!$O$12:Simulation!$P$26,6)),SMALL(Simulation!$O$12:Simulation!$P$26,6),1)</f>
        <v>1</v>
      </c>
      <c r="AC17" s="86">
        <f>IF(ISNUMBER(SMALL(Simulation!$Q$12:Simulation!$R$26,6)),SMALL(Simulation!$Q$12:Simulation!$R$26,6),1)</f>
        <v>1</v>
      </c>
      <c r="AD17" s="86">
        <f>IF(ISNUMBER(SMALL(Simulation!$S$12:Simulation!$T$26,6)),SMALL(Simulation!$S$12:Simulation!$T$26,6),1)</f>
        <v>1</v>
      </c>
      <c r="AE17" s="86">
        <f>IF(ISNUMBER(SMALL(Simulation!$U$12:Simulation!$V$26,6)),SMALL(Simulation!$U$12:Simulation!$V$26,6),1)</f>
        <v>1</v>
      </c>
      <c r="AF17" s="86">
        <f>IF(ISNUMBER(SMALL(Simulation!$W$12:Simulation!$X$26,6)),SMALL(Simulation!$W$12:Simulation!$X$26,6),1)</f>
        <v>1</v>
      </c>
    </row>
    <row r="18" spans="1:32" ht="12.75">
      <c r="A18" s="76">
        <f t="shared" si="10"/>
        <v>7</v>
      </c>
      <c r="B18" s="62">
        <f ca="1" t="shared" si="1"/>
        <v>3</v>
      </c>
      <c r="C18" s="79">
        <f t="shared" si="2"/>
        <v>0.0020833333333333333</v>
      </c>
      <c r="D18" s="62">
        <f ca="1" t="shared" si="3"/>
        <v>9</v>
      </c>
      <c r="E18" s="79">
        <f t="shared" si="4"/>
        <v>0.00625</v>
      </c>
      <c r="F18" s="79">
        <f t="shared" si="5"/>
        <v>0.3951388888888888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0.3979166666666666</v>
      </c>
      <c r="K18" s="79">
        <f>IF(ISTEXT($F18),"",MAX(Simulation!J$11:J17,start_time,$F18))</f>
        <v>0.398611111111111</v>
      </c>
      <c r="L18" s="79">
        <f>IF(ISTEXT($F18),"",MAX(Simulation!L$11:L17,start_time,$F18))</f>
        <v>0.39930555555555547</v>
      </c>
      <c r="M18" s="79">
        <f>IF(ISTEXT($F18),"",MAX(Simulation!N$11:N17,start_time,$F18))</f>
        <v>0.3951388888888888</v>
      </c>
      <c r="N18" s="79">
        <f>IF(ISTEXT($F18),"",MAX(Simulation!P$11:P17,start_time,$F18))</f>
        <v>0.3951388888888888</v>
      </c>
      <c r="O18" s="79">
        <f>IF(ISTEXT($F18),"",MAX(Simulation!R$11:R17,start_time,$F18))</f>
        <v>0.3951388888888888</v>
      </c>
      <c r="P18" s="79">
        <f>IF(ISTEXT($F18),"",MAX(Simulation!T$11:T17,start_time,$F18))</f>
        <v>0.3951388888888888</v>
      </c>
      <c r="Q18" s="79">
        <f>IF(ISTEXT($F18),"",MAX(Simulation!V$11:V17,start_time,$F18))</f>
        <v>0.3951388888888888</v>
      </c>
      <c r="R18" s="79">
        <f>IF(ISTEXT($F18),"",MAX(Simulation!X$11:X17,start_time,$F18))</f>
        <v>0.3951388888888888</v>
      </c>
      <c r="S18" s="79">
        <f t="shared" si="8"/>
        <v>0.3951388888888888</v>
      </c>
      <c r="T18" s="80">
        <f t="shared" si="9"/>
        <v>4</v>
      </c>
      <c r="U18" s="83">
        <f>IF(H18="renege","",E18)</f>
        <v>0.00625</v>
      </c>
      <c r="V18" s="84">
        <f>IF(Simulation!Z18="",Simulation!Y18,Simulation!Z18)</f>
        <v>0</v>
      </c>
      <c r="X18" s="86">
        <f>IF(ISNUMBER(SMALL(Simulation!$G$12:Simulation!$H$26,7)),SMALL(Simulation!$G$12:Simulation!$H$26,7),1)</f>
        <v>0.4083333333333332</v>
      </c>
      <c r="Y18" s="86">
        <f>IF(ISNUMBER(SMALL(Simulation!$I$12:Simulation!$J$26,7)),SMALL(Simulation!$I$12:Simulation!$J$26,7),1)</f>
        <v>0.4013888888888888</v>
      </c>
      <c r="Z18" s="86">
        <f>IF(ISNUMBER(SMALL(Simulation!$K$12:Simulation!$L$26,7)),SMALL(Simulation!$K$12:Simulation!$L$26,7),1)</f>
        <v>1</v>
      </c>
      <c r="AA18" s="86">
        <f>IF(ISNUMBER(SMALL(Simulation!$M$12:Simulation!$N$26,7)),SMALL(Simulation!$M$12:Simulation!$N$26,7),1)</f>
        <v>1</v>
      </c>
      <c r="AB18" s="86">
        <f>IF(ISNUMBER(SMALL(Simulation!$O$12:Simulation!$P$26,7)),SMALL(Simulation!$O$12:Simulation!$P$26,7),1)</f>
        <v>1</v>
      </c>
      <c r="AC18" s="86">
        <f>IF(ISNUMBER(SMALL(Simulation!$Q$12:Simulation!$R$26,7)),SMALL(Simulation!$Q$12:Simulation!$R$26,7),1)</f>
        <v>1</v>
      </c>
      <c r="AD18" s="86">
        <f>IF(ISNUMBER(SMALL(Simulation!$S$12:Simulation!$T$26,7)),SMALL(Simulation!$S$12:Simulation!$T$26,7),1)</f>
        <v>1</v>
      </c>
      <c r="AE18" s="86">
        <f>IF(ISNUMBER(SMALL(Simulation!$U$12:Simulation!$V$26,7)),SMALL(Simulation!$U$12:Simulation!$V$26,7),1)</f>
        <v>1</v>
      </c>
      <c r="AF18" s="86">
        <f>IF(ISNUMBER(SMALL(Simulation!$W$12:Simulation!$X$26,7)),SMALL(Simulation!$W$12:Simulation!$X$26,7),1)</f>
        <v>1</v>
      </c>
    </row>
    <row r="19" spans="1:32" ht="12.75">
      <c r="A19" s="76">
        <f t="shared" si="10"/>
        <v>8</v>
      </c>
      <c r="B19" s="62">
        <f ca="1" t="shared" si="1"/>
        <v>5</v>
      </c>
      <c r="C19" s="79">
        <f t="shared" si="2"/>
        <v>0.003472222222222222</v>
      </c>
      <c r="D19" s="62">
        <f ca="1" t="shared" si="3"/>
        <v>6</v>
      </c>
      <c r="E19" s="79">
        <f t="shared" si="4"/>
        <v>0.004166666666666667</v>
      </c>
      <c r="F19" s="79">
        <f t="shared" si="5"/>
        <v>0.398611111111111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0.398611111111111</v>
      </c>
      <c r="K19" s="79">
        <f>IF(ISTEXT($F19),"",MAX(Simulation!J$11:J18,start_time,$F19))</f>
        <v>0.398611111111111</v>
      </c>
      <c r="L19" s="79">
        <f>IF(ISTEXT($F19),"",MAX(Simulation!L$11:L18,start_time,$F19))</f>
        <v>0.39930555555555547</v>
      </c>
      <c r="M19" s="79">
        <f>IF(ISTEXT($F19),"",MAX(Simulation!N$11:N18,start_time,$F19))</f>
        <v>0.4013888888888888</v>
      </c>
      <c r="N19" s="79">
        <f>IF(ISTEXT($F19),"",MAX(Simulation!P$11:P18,start_time,$F19))</f>
        <v>0.398611111111111</v>
      </c>
      <c r="O19" s="79">
        <f>IF(ISTEXT($F19),"",MAX(Simulation!R$11:R18,start_time,$F19))</f>
        <v>0.398611111111111</v>
      </c>
      <c r="P19" s="79">
        <f>IF(ISTEXT($F19),"",MAX(Simulation!T$11:T18,start_time,$F19))</f>
        <v>0.398611111111111</v>
      </c>
      <c r="Q19" s="79">
        <f>IF(ISTEXT($F19),"",MAX(Simulation!V$11:V18,start_time,$F19))</f>
        <v>0.398611111111111</v>
      </c>
      <c r="R19" s="79">
        <f>IF(ISTEXT($F19),"",MAX(Simulation!X$11:X18,start_time,$F19))</f>
        <v>0.398611111111111</v>
      </c>
      <c r="S19" s="79">
        <f t="shared" si="8"/>
        <v>0.398611111111111</v>
      </c>
      <c r="T19" s="80">
        <f t="shared" si="9"/>
        <v>1</v>
      </c>
      <c r="U19" s="83">
        <f>IF(H19="renege","",E19)</f>
        <v>0.004166666666666667</v>
      </c>
      <c r="V19" s="84">
        <f>IF(Simulation!Z19="",Simulation!Y19,Simulation!Z19)</f>
        <v>0</v>
      </c>
      <c r="X19" s="86">
        <f>IF(ISNUMBER(SMALL(Simulation!$G$12:Simulation!$H$26,8)),SMALL(Simulation!$G$12:Simulation!$H$26,8),1)</f>
        <v>0.41249999999999987</v>
      </c>
      <c r="Y19" s="86">
        <f>IF(ISNUMBER(SMALL(Simulation!$I$12:Simulation!$J$26,8)),SMALL(Simulation!$I$12:Simulation!$J$26,8),1)</f>
        <v>0.40555555555555545</v>
      </c>
      <c r="Z19" s="86">
        <f>IF(ISNUMBER(SMALL(Simulation!$K$12:Simulation!$L$26,8)),SMALL(Simulation!$K$12:Simulation!$L$26,8),1)</f>
        <v>1</v>
      </c>
      <c r="AA19" s="86">
        <f>IF(ISNUMBER(SMALL(Simulation!$M$12:Simulation!$N$26,8)),SMALL(Simulation!$M$12:Simulation!$N$26,8),1)</f>
        <v>1</v>
      </c>
      <c r="AB19" s="86">
        <f>IF(ISNUMBER(SMALL(Simulation!$O$12:Simulation!$P$26,8)),SMALL(Simulation!$O$12:Simulation!$P$26,8),1)</f>
        <v>1</v>
      </c>
      <c r="AC19" s="86">
        <f>IF(ISNUMBER(SMALL(Simulation!$Q$12:Simulation!$R$26,8)),SMALL(Simulation!$Q$12:Simulation!$R$26,8),1)</f>
        <v>1</v>
      </c>
      <c r="AD19" s="86">
        <f>IF(ISNUMBER(SMALL(Simulation!$S$12:Simulation!$T$26,8)),SMALL(Simulation!$S$12:Simulation!$T$26,8),1)</f>
        <v>1</v>
      </c>
      <c r="AE19" s="86">
        <f>IF(ISNUMBER(SMALL(Simulation!$U$12:Simulation!$V$26,8)),SMALL(Simulation!$U$12:Simulation!$V$26,8),1)</f>
        <v>1</v>
      </c>
      <c r="AF19" s="86">
        <f>IF(ISNUMBER(SMALL(Simulation!$W$12:Simulation!$X$26,8)),SMALL(Simulation!$W$12:Simulation!$X$26,8),1)</f>
        <v>1</v>
      </c>
    </row>
    <row r="20" spans="1:32" ht="12.75">
      <c r="A20" s="76">
        <f t="shared" si="10"/>
        <v>9</v>
      </c>
      <c r="B20" s="62">
        <f ca="1" t="shared" si="1"/>
        <v>1</v>
      </c>
      <c r="C20" s="79">
        <f t="shared" si="2"/>
        <v>0.0006944444444444445</v>
      </c>
      <c r="D20" s="62">
        <f ca="1" t="shared" si="3"/>
        <v>3</v>
      </c>
      <c r="E20" s="79">
        <f t="shared" si="4"/>
        <v>0.0020833333333333333</v>
      </c>
      <c r="F20" s="79">
        <f t="shared" si="5"/>
        <v>0.39930555555555547</v>
      </c>
      <c r="G20" s="79">
        <f t="shared" si="6"/>
        <v>0</v>
      </c>
      <c r="H20" s="80">
        <f t="shared" si="7"/>
      </c>
      <c r="I20" s="79">
        <f t="shared" si="0"/>
      </c>
      <c r="J20" s="79">
        <f>IF(ISTEXT($F20),"",MAX(Simulation!H$11:H19,start_time,$F20))</f>
        <v>0.4027777777777777</v>
      </c>
      <c r="K20" s="79">
        <f>IF(ISTEXT($F20),"",MAX(Simulation!J$11:J19,start_time,$F20))</f>
        <v>0.39930555555555547</v>
      </c>
      <c r="L20" s="79">
        <f>IF(ISTEXT($F20),"",MAX(Simulation!L$11:L19,start_time,$F20))</f>
        <v>0.39930555555555547</v>
      </c>
      <c r="M20" s="79">
        <f>IF(ISTEXT($F20),"",MAX(Simulation!N$11:N19,start_time,$F20))</f>
        <v>0.4013888888888888</v>
      </c>
      <c r="N20" s="79">
        <f>IF(ISTEXT($F20),"",MAX(Simulation!P$11:P19,start_time,$F20))</f>
        <v>0.39930555555555547</v>
      </c>
      <c r="O20" s="79">
        <f>IF(ISTEXT($F20),"",MAX(Simulation!R$11:R19,start_time,$F20))</f>
        <v>0.39930555555555547</v>
      </c>
      <c r="P20" s="79">
        <f>IF(ISTEXT($F20),"",MAX(Simulation!T$11:T19,start_time,$F20))</f>
        <v>0.39930555555555547</v>
      </c>
      <c r="Q20" s="79">
        <f>IF(ISTEXT($F20),"",MAX(Simulation!V$11:V19,start_time,$F20))</f>
        <v>0.39930555555555547</v>
      </c>
      <c r="R20" s="79">
        <f>IF(ISTEXT($F20),"",MAX(Simulation!X$11:X19,start_time,$F20))</f>
        <v>0.39930555555555547</v>
      </c>
      <c r="S20" s="79">
        <f t="shared" si="8"/>
        <v>0.39930555555555547</v>
      </c>
      <c r="T20" s="80">
        <f t="shared" si="9"/>
        <v>2</v>
      </c>
      <c r="U20" s="83">
        <f>IF(H20="renege","",E20)</f>
        <v>0.0020833333333333333</v>
      </c>
      <c r="V20" s="84">
        <f>IF(Simulation!Z20="",Simulation!Y20,Simulation!Z20)</f>
        <v>0</v>
      </c>
      <c r="X20" s="86">
        <f>IF(ISNUMBER(SMALL(Simulation!$G$12:Simulation!$H$26,9)),SMALL(Simulation!$G$12:Simulation!$H$26,9),1)</f>
        <v>1</v>
      </c>
      <c r="Y20" s="86">
        <f>IF(ISNUMBER(SMALL(Simulation!$I$12:Simulation!$J$26,9)),SMALL(Simulation!$I$12:Simulation!$J$26,9),1)</f>
        <v>0.40902777777777766</v>
      </c>
      <c r="Z20" s="86">
        <f>IF(ISNUMBER(SMALL(Simulation!$K$12:Simulation!$L$26,9)),SMALL(Simulation!$K$12:Simulation!$L$26,9),1)</f>
        <v>1</v>
      </c>
      <c r="AA20" s="86">
        <f>IF(ISNUMBER(SMALL(Simulation!$M$12:Simulation!$N$26,9)),SMALL(Simulation!$M$12:Simulation!$N$26,9),1)</f>
        <v>1</v>
      </c>
      <c r="AB20" s="86">
        <f>IF(ISNUMBER(SMALL(Simulation!$O$12:Simulation!$P$26,9)),SMALL(Simulation!$O$12:Simulation!$P$26,9),1)</f>
        <v>1</v>
      </c>
      <c r="AC20" s="86">
        <f>IF(ISNUMBER(SMALL(Simulation!$Q$12:Simulation!$R$26,9)),SMALL(Simulation!$Q$12:Simulation!$R$26,9),1)</f>
        <v>1</v>
      </c>
      <c r="AD20" s="86">
        <f>IF(ISNUMBER(SMALL(Simulation!$S$12:Simulation!$T$26,9)),SMALL(Simulation!$S$12:Simulation!$T$26,9),1)</f>
        <v>1</v>
      </c>
      <c r="AE20" s="86">
        <f>IF(ISNUMBER(SMALL(Simulation!$U$12:Simulation!$V$26,9)),SMALL(Simulation!$U$12:Simulation!$V$26,9),1)</f>
        <v>1</v>
      </c>
      <c r="AF20" s="86">
        <f>IF(ISNUMBER(SMALL(Simulation!$W$12:Simulation!$X$26,9)),SMALL(Simulation!$W$12:Simulation!$X$26,9),1)</f>
        <v>1</v>
      </c>
    </row>
    <row r="21" spans="1:32" ht="12.75">
      <c r="A21" s="76">
        <f t="shared" si="10"/>
        <v>10</v>
      </c>
      <c r="B21" s="62">
        <f ca="1" t="shared" si="1"/>
        <v>3</v>
      </c>
      <c r="C21" s="79">
        <f t="shared" si="2"/>
        <v>0.0020833333333333333</v>
      </c>
      <c r="D21" s="62">
        <f ca="1" t="shared" si="3"/>
        <v>6</v>
      </c>
      <c r="E21" s="79">
        <f t="shared" si="4"/>
        <v>0.004166666666666667</v>
      </c>
      <c r="F21" s="79">
        <f t="shared" si="5"/>
        <v>0.4013888888888888</v>
      </c>
      <c r="G21" s="79">
        <f t="shared" si="6"/>
        <v>0</v>
      </c>
      <c r="H21" s="80">
        <f t="shared" si="7"/>
      </c>
      <c r="I21" s="79">
        <f t="shared" si="0"/>
      </c>
      <c r="J21" s="79">
        <f>IF(ISTEXT($F21),"",MAX(Simulation!H$11:H20,start_time,$F21))</f>
        <v>0.4027777777777777</v>
      </c>
      <c r="K21" s="79">
        <f>IF(ISTEXT($F21),"",MAX(Simulation!J$11:J20,start_time,$F21))</f>
        <v>0.4013888888888888</v>
      </c>
      <c r="L21" s="79">
        <f>IF(ISTEXT($F21),"",MAX(Simulation!L$11:L20,start_time,$F21))</f>
        <v>0.4013888888888888</v>
      </c>
      <c r="M21" s="79">
        <f>IF(ISTEXT($F21),"",MAX(Simulation!N$11:N20,start_time,$F21))</f>
        <v>0.4013888888888888</v>
      </c>
      <c r="N21" s="79">
        <f>IF(ISTEXT($F21),"",MAX(Simulation!P$11:P20,start_time,$F21))</f>
        <v>0.4013888888888888</v>
      </c>
      <c r="O21" s="79">
        <f>IF(ISTEXT($F21),"",MAX(Simulation!R$11:R20,start_time,$F21))</f>
        <v>0.4013888888888888</v>
      </c>
      <c r="P21" s="79">
        <f>IF(ISTEXT($F21),"",MAX(Simulation!T$11:T20,start_time,$F21))</f>
        <v>0.4013888888888888</v>
      </c>
      <c r="Q21" s="79">
        <f>IF(ISTEXT($F21),"",MAX(Simulation!V$11:V20,start_time,$F21))</f>
        <v>0.4013888888888888</v>
      </c>
      <c r="R21" s="79">
        <f>IF(ISTEXT($F21),"",MAX(Simulation!X$11:X20,start_time,$F21))</f>
        <v>0.4013888888888888</v>
      </c>
      <c r="S21" s="79">
        <f t="shared" si="8"/>
        <v>0.4013888888888888</v>
      </c>
      <c r="T21" s="80">
        <f t="shared" si="9"/>
        <v>2</v>
      </c>
      <c r="U21" s="83">
        <f>IF(H21="renege","",E21)</f>
        <v>0.004166666666666667</v>
      </c>
      <c r="V21" s="84">
        <f>IF(Simulation!Z21="",Simulation!Y21,Simulation!Z21)</f>
        <v>0</v>
      </c>
      <c r="X21" s="86">
        <f>IF(ISNUMBER(SMALL(Simulation!$G$12:Simulation!$H$26,10)),SMALL(Simulation!$G$12:Simulation!$H$26,10),1)</f>
        <v>1</v>
      </c>
      <c r="Y21" s="86">
        <f>IF(ISNUMBER(SMALL(Simulation!$I$12:Simulation!$J$26,10)),SMALL(Simulation!$I$12:Simulation!$J$26,10),1)</f>
        <v>0.411111111111111</v>
      </c>
      <c r="Z21" s="86">
        <f>IF(ISNUMBER(SMALL(Simulation!$K$12:Simulation!$L$26,10)),SMALL(Simulation!$K$12:Simulation!$L$26,10),1)</f>
        <v>1</v>
      </c>
      <c r="AA21" s="86">
        <f>IF(ISNUMBER(SMALL(Simulation!$M$12:Simulation!$N$26,10)),SMALL(Simulation!$M$12:Simulation!$N$26,10),1)</f>
        <v>1</v>
      </c>
      <c r="AB21" s="86">
        <f>IF(ISNUMBER(SMALL(Simulation!$O$12:Simulation!$P$26,10)),SMALL(Simulation!$O$12:Simulation!$P$26,10),1)</f>
        <v>1</v>
      </c>
      <c r="AC21" s="86">
        <f>IF(ISNUMBER(SMALL(Simulation!$Q$12:Simulation!$R$26,10)),SMALL(Simulation!$Q$12:Simulation!$R$26,10),1)</f>
        <v>1</v>
      </c>
      <c r="AD21" s="86">
        <f>IF(ISNUMBER(SMALL(Simulation!$S$12:Simulation!$T$26,10)),SMALL(Simulation!$S$12:Simulation!$T$26,10),1)</f>
        <v>1</v>
      </c>
      <c r="AE21" s="86">
        <f>IF(ISNUMBER(SMALL(Simulation!$U$12:Simulation!$V$26,10)),SMALL(Simulation!$U$12:Simulation!$V$26,10),1)</f>
        <v>1</v>
      </c>
      <c r="AF21" s="86">
        <f>IF(ISNUMBER(SMALL(Simulation!$W$12:Simulation!$X$26,10)),SMALL(Simulation!$W$12:Simulation!$X$26,10),1)</f>
        <v>1</v>
      </c>
    </row>
    <row r="22" spans="1:32" ht="12.75">
      <c r="A22" s="76">
        <f t="shared" si="10"/>
        <v>11</v>
      </c>
      <c r="B22" s="62">
        <f ca="1" t="shared" si="1"/>
        <v>10</v>
      </c>
      <c r="C22" s="79">
        <f t="shared" si="2"/>
        <v>0.006944444444444444</v>
      </c>
      <c r="D22" s="62">
        <f ca="1" t="shared" si="3"/>
        <v>6</v>
      </c>
      <c r="E22" s="79">
        <f t="shared" si="4"/>
        <v>0.004166666666666667</v>
      </c>
      <c r="F22" s="79">
        <f t="shared" si="5"/>
        <v>0.4083333333333332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0.4083333333333332</v>
      </c>
      <c r="K22" s="79">
        <f>IF(ISTEXT($F22),"",MAX(Simulation!J$11:J21,start_time,$F22))</f>
        <v>0.4083333333333332</v>
      </c>
      <c r="L22" s="79">
        <f>IF(ISTEXT($F22),"",MAX(Simulation!L$11:L21,start_time,$F22))</f>
        <v>0.4083333333333332</v>
      </c>
      <c r="M22" s="79">
        <f>IF(ISTEXT($F22),"",MAX(Simulation!N$11:N21,start_time,$F22))</f>
        <v>0.4083333333333332</v>
      </c>
      <c r="N22" s="79">
        <f>IF(ISTEXT($F22),"",MAX(Simulation!P$11:P21,start_time,$F22))</f>
        <v>0.4083333333333332</v>
      </c>
      <c r="O22" s="79">
        <f>IF(ISTEXT($F22),"",MAX(Simulation!R$11:R21,start_time,$F22))</f>
        <v>0.4083333333333332</v>
      </c>
      <c r="P22" s="79">
        <f>IF(ISTEXT($F22),"",MAX(Simulation!T$11:T21,start_time,$F22))</f>
        <v>0.4083333333333332</v>
      </c>
      <c r="Q22" s="79">
        <f>IF(ISTEXT($F22),"",MAX(Simulation!V$11:V21,start_time,$F22))</f>
        <v>0.4083333333333332</v>
      </c>
      <c r="R22" s="79">
        <f>IF(ISTEXT($F22),"",MAX(Simulation!X$11:X21,start_time,$F22))</f>
        <v>0.4083333333333332</v>
      </c>
      <c r="S22" s="79">
        <f t="shared" si="8"/>
        <v>0.4083333333333332</v>
      </c>
      <c r="T22" s="80">
        <f t="shared" si="9"/>
        <v>1</v>
      </c>
      <c r="U22" s="83">
        <f>IF(H22="renege","",E22)</f>
        <v>0.004166666666666667</v>
      </c>
      <c r="V22" s="84">
        <f>IF(Simulation!Z22="",Simulation!Y22,Simulation!Z22)</f>
        <v>0</v>
      </c>
      <c r="X22" s="86">
        <f>IF(ISNUMBER(SMALL(Simulation!$G$12:Simulation!$H$26,11)),SMALL(Simulation!$G$12:Simulation!$H$26,11),1)</f>
        <v>1</v>
      </c>
      <c r="Y22" s="86">
        <f>IF(ISNUMBER(SMALL(Simulation!$I$12:Simulation!$J$26,11)),SMALL(Simulation!$I$12:Simulation!$J$26,11),1)</f>
        <v>0.411111111111111</v>
      </c>
      <c r="Z22" s="86">
        <f>IF(ISNUMBER(SMALL(Simulation!$K$12:Simulation!$L$26,11)),SMALL(Simulation!$K$12:Simulation!$L$26,11),1)</f>
        <v>1</v>
      </c>
      <c r="AA22" s="86">
        <f>IF(ISNUMBER(SMALL(Simulation!$M$12:Simulation!$N$26,11)),SMALL(Simulation!$M$12:Simulation!$N$26,11),1)</f>
        <v>1</v>
      </c>
      <c r="AB22" s="86">
        <f>IF(ISNUMBER(SMALL(Simulation!$O$12:Simulation!$P$26,11)),SMALL(Simulation!$O$12:Simulation!$P$26,11),1)</f>
        <v>1</v>
      </c>
      <c r="AC22" s="86">
        <f>IF(ISNUMBER(SMALL(Simulation!$Q$12:Simulation!$R$26,11)),SMALL(Simulation!$Q$12:Simulation!$R$26,11),1)</f>
        <v>1</v>
      </c>
      <c r="AD22" s="86">
        <f>IF(ISNUMBER(SMALL(Simulation!$S$12:Simulation!$T$26,11)),SMALL(Simulation!$S$12:Simulation!$T$26,11),1)</f>
        <v>1</v>
      </c>
      <c r="AE22" s="86">
        <f>IF(ISNUMBER(SMALL(Simulation!$U$12:Simulation!$V$26,11)),SMALL(Simulation!$U$12:Simulation!$V$26,11),1)</f>
        <v>1</v>
      </c>
      <c r="AF22" s="86">
        <f>IF(ISNUMBER(SMALL(Simulation!$W$12:Simulation!$X$26,11)),SMALL(Simulation!$W$12:Simulation!$X$26,11),1)</f>
        <v>1</v>
      </c>
    </row>
    <row r="23" spans="1:32" ht="12.75">
      <c r="A23" s="76">
        <f t="shared" si="10"/>
        <v>12</v>
      </c>
      <c r="B23" s="62">
        <f ca="1" t="shared" si="1"/>
        <v>1</v>
      </c>
      <c r="C23" s="79">
        <f t="shared" si="2"/>
        <v>0.0006944444444444445</v>
      </c>
      <c r="D23" s="62">
        <f ca="1" t="shared" si="3"/>
        <v>3</v>
      </c>
      <c r="E23" s="79">
        <f t="shared" si="4"/>
        <v>0.0020833333333333333</v>
      </c>
      <c r="F23" s="79">
        <f t="shared" si="5"/>
        <v>0.40902777777777766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0.41249999999999987</v>
      </c>
      <c r="K23" s="79">
        <f>IF(ISTEXT($F23),"",MAX(Simulation!J$11:J22,start_time,$F23))</f>
        <v>0.40902777777777766</v>
      </c>
      <c r="L23" s="79">
        <f>IF(ISTEXT($F23),"",MAX(Simulation!L$11:L22,start_time,$F23))</f>
        <v>0.40902777777777766</v>
      </c>
      <c r="M23" s="79">
        <f>IF(ISTEXT($F23),"",MAX(Simulation!N$11:N22,start_time,$F23))</f>
        <v>0.40902777777777766</v>
      </c>
      <c r="N23" s="79">
        <f>IF(ISTEXT($F23),"",MAX(Simulation!P$11:P22,start_time,$F23))</f>
        <v>0.40902777777777766</v>
      </c>
      <c r="O23" s="79">
        <f>IF(ISTEXT($F23),"",MAX(Simulation!R$11:R22,start_time,$F23))</f>
        <v>0.40902777777777766</v>
      </c>
      <c r="P23" s="79">
        <f>IF(ISTEXT($F23),"",MAX(Simulation!T$11:T22,start_time,$F23))</f>
        <v>0.40902777777777766</v>
      </c>
      <c r="Q23" s="79">
        <f>IF(ISTEXT($F23),"",MAX(Simulation!V$11:V22,start_time,$F23))</f>
        <v>0.40902777777777766</v>
      </c>
      <c r="R23" s="79">
        <f>IF(ISTEXT($F23),"",MAX(Simulation!X$11:X22,start_time,$F23))</f>
        <v>0.40902777777777766</v>
      </c>
      <c r="S23" s="79">
        <f t="shared" si="8"/>
        <v>0.40902777777777766</v>
      </c>
      <c r="T23" s="80">
        <f t="shared" si="9"/>
        <v>2</v>
      </c>
      <c r="U23" s="83">
        <f>IF(H23="renege","",E23)</f>
        <v>0.0020833333333333333</v>
      </c>
      <c r="V23" s="84">
        <f>IF(Simulation!Z23="",Simulation!Y23,Simulation!Z23)</f>
        <v>0</v>
      </c>
      <c r="X23" s="86">
        <f>IF(ISNUMBER(SMALL(Simulation!$G$12:Simulation!$H$26,12)),SMALL(Simulation!$G$12:Simulation!$H$26,12),1)</f>
        <v>1</v>
      </c>
      <c r="Y23" s="86">
        <f>IF(ISNUMBER(SMALL(Simulation!$I$12:Simulation!$J$26,12)),SMALL(Simulation!$I$12:Simulation!$J$26,12),1)</f>
        <v>0.41736111111111096</v>
      </c>
      <c r="Z23" s="86">
        <f>IF(ISNUMBER(SMALL(Simulation!$K$12:Simulation!$L$26,12)),SMALL(Simulation!$K$12:Simulation!$L$26,12),1)</f>
        <v>1</v>
      </c>
      <c r="AA23" s="86">
        <f>IF(ISNUMBER(SMALL(Simulation!$M$12:Simulation!$N$26,12)),SMALL(Simulation!$M$12:Simulation!$N$26,12),1)</f>
        <v>1</v>
      </c>
      <c r="AB23" s="86">
        <f>IF(ISNUMBER(SMALL(Simulation!$O$12:Simulation!$P$26,12)),SMALL(Simulation!$O$12:Simulation!$P$26,12),1)</f>
        <v>1</v>
      </c>
      <c r="AC23" s="86">
        <f>IF(ISNUMBER(SMALL(Simulation!$Q$12:Simulation!$R$26,12)),SMALL(Simulation!$Q$12:Simulation!$R$26,12),1)</f>
        <v>1</v>
      </c>
      <c r="AD23" s="86">
        <f>IF(ISNUMBER(SMALL(Simulation!$S$12:Simulation!$T$26,12)),SMALL(Simulation!$S$12:Simulation!$T$26,12),1)</f>
        <v>1</v>
      </c>
      <c r="AE23" s="86">
        <f>IF(ISNUMBER(SMALL(Simulation!$U$12:Simulation!$V$26,12)),SMALL(Simulation!$U$12:Simulation!$V$26,12),1)</f>
        <v>1</v>
      </c>
      <c r="AF23" s="86">
        <f>IF(ISNUMBER(SMALL(Simulation!$W$12:Simulation!$X$26,12)),SMALL(Simulation!$W$12:Simulation!$X$26,12),1)</f>
        <v>1</v>
      </c>
    </row>
    <row r="24" spans="1:32" ht="12.75">
      <c r="A24" s="76">
        <f t="shared" si="10"/>
        <v>13</v>
      </c>
      <c r="B24" s="62">
        <f ca="1" t="shared" si="1"/>
        <v>3</v>
      </c>
      <c r="C24" s="79">
        <f t="shared" si="2"/>
        <v>0.0020833333333333333</v>
      </c>
      <c r="D24" s="62">
        <f ca="1" t="shared" si="3"/>
        <v>9</v>
      </c>
      <c r="E24" s="79">
        <f t="shared" si="4"/>
        <v>0.00625</v>
      </c>
      <c r="F24" s="79">
        <f t="shared" si="5"/>
        <v>0.411111111111111</v>
      </c>
      <c r="G24" s="79">
        <f t="shared" si="6"/>
        <v>0</v>
      </c>
      <c r="H24" s="80">
        <f t="shared" si="7"/>
      </c>
      <c r="I24" s="79">
        <f t="shared" si="0"/>
      </c>
      <c r="J24" s="79">
        <f>IF(ISTEXT($F24),"",MAX(Simulation!H$11:H23,start_time,$F24))</f>
        <v>0.41249999999999987</v>
      </c>
      <c r="K24" s="79">
        <f>IF(ISTEXT($F24),"",MAX(Simulation!J$11:J23,start_time,$F24))</f>
        <v>0.411111111111111</v>
      </c>
      <c r="L24" s="79">
        <f>IF(ISTEXT($F24),"",MAX(Simulation!L$11:L23,start_time,$F24))</f>
        <v>0.411111111111111</v>
      </c>
      <c r="M24" s="79">
        <f>IF(ISTEXT($F24),"",MAX(Simulation!N$11:N23,start_time,$F24))</f>
        <v>0.411111111111111</v>
      </c>
      <c r="N24" s="79">
        <f>IF(ISTEXT($F24),"",MAX(Simulation!P$11:P23,start_time,$F24))</f>
        <v>0.411111111111111</v>
      </c>
      <c r="O24" s="79">
        <f>IF(ISTEXT($F24),"",MAX(Simulation!R$11:R23,start_time,$F24))</f>
        <v>0.411111111111111</v>
      </c>
      <c r="P24" s="79">
        <f>IF(ISTEXT($F24),"",MAX(Simulation!T$11:T23,start_time,$F24))</f>
        <v>0.411111111111111</v>
      </c>
      <c r="Q24" s="79">
        <f>IF(ISTEXT($F24),"",MAX(Simulation!V$11:V23,start_time,$F24))</f>
        <v>0.411111111111111</v>
      </c>
      <c r="R24" s="79">
        <f>IF(ISTEXT($F24),"",MAX(Simulation!X$11:X23,start_time,$F24))</f>
        <v>0.411111111111111</v>
      </c>
      <c r="S24" s="79">
        <f t="shared" si="8"/>
        <v>0.411111111111111</v>
      </c>
      <c r="T24" s="80">
        <f t="shared" si="9"/>
        <v>2</v>
      </c>
      <c r="U24" s="83">
        <f>IF(H24="renege","",E24)</f>
        <v>0.00625</v>
      </c>
      <c r="V24" s="84">
        <f>IF(Simulation!Z24="",Simulation!Y24,Simulation!Z24)</f>
        <v>0</v>
      </c>
      <c r="X24" s="86">
        <f>IF(ISNUMBER(SMALL(Simulation!$G$12:Simulation!$H$26,13)),SMALL(Simulation!$G$12:Simulation!$H$26,13),1)</f>
        <v>1</v>
      </c>
      <c r="Y24" s="86">
        <f>IF(ISNUMBER(SMALL(Simulation!$I$12:Simulation!$J$26,13)),SMALL(Simulation!$I$12:Simulation!$J$26,13),1)</f>
        <v>1</v>
      </c>
      <c r="Z24" s="86">
        <f>IF(ISNUMBER(SMALL(Simulation!$K$12:Simulation!$L$26,13)),SMALL(Simulation!$K$12:Simulation!$L$26,13),1)</f>
        <v>1</v>
      </c>
      <c r="AA24" s="86">
        <f>IF(ISNUMBER(SMALL(Simulation!$M$12:Simulation!$N$26,13)),SMALL(Simulation!$M$12:Simulation!$N$26,13),1)</f>
        <v>1</v>
      </c>
      <c r="AB24" s="86">
        <f>IF(ISNUMBER(SMALL(Simulation!$O$12:Simulation!$P$26,13)),SMALL(Simulation!$O$12:Simulation!$P$26,13),1)</f>
        <v>1</v>
      </c>
      <c r="AC24" s="86">
        <f>IF(ISNUMBER(SMALL(Simulation!$Q$12:Simulation!$R$26,13)),SMALL(Simulation!$Q$12:Simulation!$R$26,13),1)</f>
        <v>1</v>
      </c>
      <c r="AD24" s="86">
        <f>IF(ISNUMBER(SMALL(Simulation!$S$12:Simulation!$T$26,13)),SMALL(Simulation!$S$12:Simulation!$T$26,13),1)</f>
        <v>1</v>
      </c>
      <c r="AE24" s="86">
        <f>IF(ISNUMBER(SMALL(Simulation!$U$12:Simulation!$V$26,13)),SMALL(Simulation!$U$12:Simulation!$V$26,13),1)</f>
        <v>1</v>
      </c>
      <c r="AF24" s="86">
        <f>IF(ISNUMBER(SMALL(Simulation!$W$12:Simulation!$X$26,13)),SMALL(Simulation!$W$12:Simulation!$X$26,13),1)</f>
        <v>1</v>
      </c>
    </row>
    <row r="25" spans="1:32" ht="12.75">
      <c r="A25" s="76" t="str">
        <f t="shared" si="10"/>
        <v>closed</v>
      </c>
      <c r="B25" s="62">
        <f ca="1" t="shared" si="1"/>
        <v>10</v>
      </c>
      <c r="C25" s="79">
        <f t="shared" si="2"/>
        <v>0.006944444444444444</v>
      </c>
      <c r="D25" s="62">
        <f ca="1" t="shared" si="3"/>
        <v>6</v>
      </c>
      <c r="E25" s="79">
        <f t="shared" si="4"/>
        <v>0.004166666666666667</v>
      </c>
      <c r="F25" s="79" t="str">
        <f t="shared" si="5"/>
        <v>closed</v>
      </c>
      <c r="G25" s="79">
        <f t="shared" si="6"/>
      </c>
      <c r="H25" s="80">
        <f t="shared" si="7"/>
      </c>
      <c r="I25" s="79">
        <f t="shared" si="0"/>
      </c>
      <c r="J25" s="79">
        <f>IF(ISTEXT($F25),"",MAX(Simulation!H$11:H24,start_time,$F25))</f>
      </c>
      <c r="K25" s="79">
        <f>IF(ISTEXT($F25),"",MAX(Simulation!J$11:J24,start_time,$F25))</f>
      </c>
      <c r="L25" s="79">
        <f>IF(ISTEXT($F25),"",MAX(Simulation!L$11:L24,start_time,$F25))</f>
      </c>
      <c r="M25" s="79">
        <f>IF(ISTEXT($F25),"",MAX(Simulation!N$11:N24,start_time,$F25))</f>
      </c>
      <c r="N25" s="79">
        <f>IF(ISTEXT($F25),"",MAX(Simulation!P$11:P24,start_time,$F25))</f>
      </c>
      <c r="O25" s="79">
        <f>IF(ISTEXT($F25),"",MAX(Simulation!R$11:R24,start_time,$F25))</f>
      </c>
      <c r="P25" s="79">
        <f>IF(ISTEXT($F25),"",MAX(Simulation!T$11:T24,start_time,$F25))</f>
      </c>
      <c r="Q25" s="79">
        <f>IF(ISTEXT($F25),"",MAX(Simulation!V$11:V24,start_time,$F25))</f>
      </c>
      <c r="R25" s="79">
        <f>IF(ISTEXT($F25),"",MAX(Simulation!X$11:X24,start_time,$F25))</f>
      </c>
      <c r="S25" s="79">
        <f t="shared" si="8"/>
      </c>
      <c r="T25" s="80">
        <f t="shared" si="9"/>
      </c>
      <c r="U25" s="83">
        <f>IF(H25="renege","",E25)</f>
        <v>0.004166666666666667</v>
      </c>
      <c r="V25" s="84">
        <f>IF(Simulation!Z25="",Simulation!Y25,Simulation!Z25)</f>
      </c>
      <c r="X25" s="86">
        <f>IF(ISNUMBER(SMALL(Simulation!$G$12:Simulation!$H$26,14)),SMALL(Simulation!$G$12:Simulation!$H$26,14),1)</f>
        <v>1</v>
      </c>
      <c r="Y25" s="86">
        <f>IF(ISNUMBER(SMALL(Simulation!$I$12:Simulation!$J$26,14)),SMALL(Simulation!$I$12:Simulation!$J$26,14),1)</f>
        <v>1</v>
      </c>
      <c r="Z25" s="86">
        <f>IF(ISNUMBER(SMALL(Simulation!$K$12:Simulation!$L$26,14)),SMALL(Simulation!$K$12:Simulation!$L$26,14),1)</f>
        <v>1</v>
      </c>
      <c r="AA25" s="86">
        <f>IF(ISNUMBER(SMALL(Simulation!$M$12:Simulation!$N$26,14)),SMALL(Simulation!$M$12:Simulation!$N$26,14),1)</f>
        <v>1</v>
      </c>
      <c r="AB25" s="86">
        <f>IF(ISNUMBER(SMALL(Simulation!$O$12:Simulation!$P$26,14)),SMALL(Simulation!$O$12:Simulation!$P$26,14),1)</f>
        <v>1</v>
      </c>
      <c r="AC25" s="86">
        <f>IF(ISNUMBER(SMALL(Simulation!$Q$12:Simulation!$R$26,14)),SMALL(Simulation!$Q$12:Simulation!$R$26,14),1)</f>
        <v>1</v>
      </c>
      <c r="AD25" s="86">
        <f>IF(ISNUMBER(SMALL(Simulation!$S$12:Simulation!$T$26,14)),SMALL(Simulation!$S$12:Simulation!$T$26,14),1)</f>
        <v>1</v>
      </c>
      <c r="AE25" s="86">
        <f>IF(ISNUMBER(SMALL(Simulation!$U$12:Simulation!$V$26,14)),SMALL(Simulation!$U$12:Simulation!$V$26,14),1)</f>
        <v>1</v>
      </c>
      <c r="AF25" s="86">
        <f>IF(ISNUMBER(SMALL(Simulation!$W$12:Simulation!$X$26,14)),SMALL(Simulation!$W$12:Simulation!$X$26,14),1)</f>
        <v>1</v>
      </c>
    </row>
    <row r="26" spans="1:32" ht="12.75">
      <c r="A26" s="76" t="str">
        <f t="shared" si="10"/>
        <v>closed</v>
      </c>
      <c r="B26" s="62">
        <f ca="1" t="shared" si="1"/>
        <v>1</v>
      </c>
      <c r="C26" s="79">
        <f t="shared" si="2"/>
        <v>0.0006944444444444445</v>
      </c>
      <c r="D26" s="62">
        <f ca="1" t="shared" si="3"/>
        <v>6</v>
      </c>
      <c r="E26" s="79">
        <f t="shared" si="4"/>
        <v>0.004166666666666667</v>
      </c>
      <c r="F26" s="79">
        <f t="shared" si="5"/>
      </c>
      <c r="G26" s="79">
        <f t="shared" si="6"/>
      </c>
      <c r="H26" s="80">
        <f t="shared" si="7"/>
      </c>
      <c r="I26" s="79">
        <f t="shared" si="0"/>
      </c>
      <c r="J26" s="79">
        <f>IF(ISTEXT($F26),"",MAX(Simulation!H$11:H25,start_time,$F26))</f>
      </c>
      <c r="K26" s="79">
        <f>IF(ISTEXT($F26),"",MAX(Simulation!J$11:J25,start_time,$F26))</f>
      </c>
      <c r="L26" s="79">
        <f>IF(ISTEXT($F26),"",MAX(Simulation!L$11:L25,start_time,$F26))</f>
      </c>
      <c r="M26" s="79">
        <f>IF(ISTEXT($F26),"",MAX(Simulation!N$11:N25,start_time,$F26))</f>
      </c>
      <c r="N26" s="79">
        <f>IF(ISTEXT($F26),"",MAX(Simulation!P$11:P25,start_time,$F26))</f>
      </c>
      <c r="O26" s="79">
        <f>IF(ISTEXT($F26),"",MAX(Simulation!R$11:R25,start_time,$F26))</f>
      </c>
      <c r="P26" s="79">
        <f>IF(ISTEXT($F26),"",MAX(Simulation!T$11:T25,start_time,$F26))</f>
      </c>
      <c r="Q26" s="79">
        <f>IF(ISTEXT($F26),"",MAX(Simulation!V$11:V25,start_time,$F26))</f>
      </c>
      <c r="R26" s="79">
        <f>IF(ISTEXT($F26),"",MAX(Simulation!X$11:X25,start_time,$F26))</f>
      </c>
      <c r="S26" s="79">
        <f t="shared" si="8"/>
      </c>
      <c r="T26" s="80">
        <f t="shared" si="9"/>
      </c>
      <c r="U26" s="83">
        <f>IF(H26="renege","",E26)</f>
        <v>0.004166666666666667</v>
      </c>
      <c r="V26" s="84">
        <f>IF(Simulation!Z26="",Simulation!Y26,Simulation!Z26)</f>
      </c>
      <c r="X26" s="86">
        <f>IF(ISNUMBER(SMALL(Simulation!$G$12:Simulation!$H$26,15)),SMALL(Simulation!$G$12:Simulation!$H$26,15),1)</f>
        <v>1</v>
      </c>
      <c r="Y26" s="86">
        <f>IF(ISNUMBER(SMALL(Simulation!$I$12:Simulation!$J$26,15)),SMALL(Simulation!$I$12:Simulation!$J$26,15),1)</f>
        <v>1</v>
      </c>
      <c r="Z26" s="86">
        <f>IF(ISNUMBER(SMALL(Simulation!$K$12:Simulation!$L$26,15)),SMALL(Simulation!$K$12:Simulation!$L$26,15),1)</f>
        <v>1</v>
      </c>
      <c r="AA26" s="86">
        <f>IF(ISNUMBER(SMALL(Simulation!$M$12:Simulation!$N$26,15)),SMALL(Simulation!$M$12:Simulation!$N$26,15),1)</f>
        <v>1</v>
      </c>
      <c r="AB26" s="86">
        <f>IF(ISNUMBER(SMALL(Simulation!$O$12:Simulation!$P$26,15)),SMALL(Simulation!$O$12:Simulation!$P$26,15),1)</f>
        <v>1</v>
      </c>
      <c r="AC26" s="86">
        <f>IF(ISNUMBER(SMALL(Simulation!$Q$12:Simulation!$R$26,15)),SMALL(Simulation!$Q$12:Simulation!$R$26,15),1)</f>
        <v>1</v>
      </c>
      <c r="AD26" s="86">
        <f>IF(ISNUMBER(SMALL(Simulation!$S$12:Simulation!$T$26,15)),SMALL(Simulation!$S$12:Simulation!$T$26,15),1)</f>
        <v>1</v>
      </c>
      <c r="AE26" s="86">
        <f>IF(ISNUMBER(SMALL(Simulation!$U$12:Simulation!$V$26,15)),SMALL(Simulation!$U$12:Simulation!$V$26,15),1)</f>
        <v>1</v>
      </c>
      <c r="AF26" s="86">
        <f>IF(ISNUMBER(SMALL(Simulation!$W$12:Simulation!$X$26,15)),SMALL(Simulation!$W$12:Simulation!$X$26,15),1)</f>
        <v>1</v>
      </c>
    </row>
    <row r="27" spans="24:32" ht="12.75">
      <c r="X27" s="86">
        <f>IF(ISNUMBER(SMALL(Simulation!$G$12:Simulation!$H$26,16)),SMALL(Simulation!$G$12:Simulation!$H$26,16),1)</f>
        <v>1</v>
      </c>
      <c r="Y27" s="86">
        <f>IF(ISNUMBER(SMALL(Simulation!$I$12:Simulation!$J$26,16)),SMALL(Simulation!$I$12:Simulation!$J$26,16),1)</f>
        <v>1</v>
      </c>
      <c r="Z27" s="86">
        <f>IF(ISNUMBER(SMALL(Simulation!$K$12:Simulation!$L$26,16)),SMALL(Simulation!$K$12:Simulation!$L$26,16),1)</f>
        <v>1</v>
      </c>
      <c r="AA27" s="86">
        <f>IF(ISNUMBER(SMALL(Simulation!$M$12:Simulation!$N$26,16)),SMALL(Simulation!$M$12:Simulation!$N$26,16),1)</f>
        <v>1</v>
      </c>
      <c r="AB27" s="86">
        <f>IF(ISNUMBER(SMALL(Simulation!$O$12:Simulation!$P$26,16)),SMALL(Simulation!$O$12:Simulation!$P$26,16),1)</f>
        <v>1</v>
      </c>
      <c r="AC27" s="86">
        <f>IF(ISNUMBER(SMALL(Simulation!$Q$12:Simulation!$R$26,16)),SMALL(Simulation!$Q$12:Simulation!$R$26,16),1)</f>
        <v>1</v>
      </c>
      <c r="AD27" s="86">
        <f>IF(ISNUMBER(SMALL(Simulation!$S$12:Simulation!$T$26,16)),SMALL(Simulation!$S$12:Simulation!$T$26,16),1)</f>
        <v>1</v>
      </c>
      <c r="AE27" s="86">
        <f>IF(ISNUMBER(SMALL(Simulation!$U$12:Simulation!$V$26,16)),SMALL(Simulation!$U$12:Simulation!$V$26,16),1)</f>
        <v>1</v>
      </c>
      <c r="AF27" s="86">
        <f>IF(ISNUMBER(SMALL(Simulation!$W$12:Simulation!$X$26,16)),SMALL(Simulation!$W$12:Simulation!$X$26,16),1)</f>
        <v>1</v>
      </c>
    </row>
    <row r="28" spans="6:32" ht="12.75">
      <c r="F28" s="58"/>
      <c r="J28" s="53"/>
      <c r="K28" s="53"/>
      <c r="L28" s="53"/>
      <c r="M28" s="53"/>
      <c r="N28" s="53"/>
      <c r="O28" s="53"/>
      <c r="P28" s="53"/>
      <c r="Q28" s="53"/>
      <c r="R28" s="53"/>
      <c r="X28" s="86">
        <f>IF(ISNUMBER(SMALL(Simulation!$G$12:Simulation!$H$26,17)),SMALL(Simulation!$G$12:Simulation!$H$26,17),1)</f>
        <v>1</v>
      </c>
      <c r="Y28" s="86">
        <f>IF(ISNUMBER(SMALL(Simulation!$I$12:Simulation!$J$26,17)),SMALL(Simulation!$I$12:Simulation!$J$26,17),1)</f>
        <v>1</v>
      </c>
      <c r="Z28" s="86">
        <f>IF(ISNUMBER(SMALL(Simulation!$K$12:Simulation!$L$26,17)),SMALL(Simulation!$K$12:Simulation!$L$26,17),1)</f>
        <v>1</v>
      </c>
      <c r="AA28" s="86">
        <f>IF(ISNUMBER(SMALL(Simulation!$M$12:Simulation!$N$26,17)),SMALL(Simulation!$M$12:Simulation!$N$26,17),1)</f>
        <v>1</v>
      </c>
      <c r="AB28" s="86">
        <f>IF(ISNUMBER(SMALL(Simulation!$O$12:Simulation!$P$26,17)),SMALL(Simulation!$O$12:Simulation!$P$26,17),1)</f>
        <v>1</v>
      </c>
      <c r="AC28" s="86">
        <f>IF(ISNUMBER(SMALL(Simulation!$Q$12:Simulation!$R$26,17)),SMALL(Simulation!$Q$12:Simulation!$R$26,17),1)</f>
        <v>1</v>
      </c>
      <c r="AD28" s="86">
        <f>IF(ISNUMBER(SMALL(Simulation!$S$12:Simulation!$T$26,17)),SMALL(Simulation!$S$12:Simulation!$T$26,17),1)</f>
        <v>1</v>
      </c>
      <c r="AE28" s="86">
        <f>IF(ISNUMBER(SMALL(Simulation!$U$12:Simulation!$V$26,17)),SMALL(Simulation!$U$12:Simulation!$V$26,17),1)</f>
        <v>1</v>
      </c>
      <c r="AF28" s="86">
        <f>IF(ISNUMBER(SMALL(Simulation!$W$12:Simulation!$X$26,17)),SMALL(Simulation!$W$12:Simulation!$X$26,17),1)</f>
        <v>1</v>
      </c>
    </row>
    <row r="29" spans="24:32" ht="12.75">
      <c r="X29" s="86">
        <f>IF(ISNUMBER(SMALL(Simulation!$G$12:Simulation!$H$26,18)),SMALL(Simulation!$G$12:Simulation!$H$26,18),1)</f>
        <v>1</v>
      </c>
      <c r="Y29" s="86">
        <f>IF(ISNUMBER(SMALL(Simulation!$I$12:Simulation!$J$26,18)),SMALL(Simulation!$I$12:Simulation!$J$26,18),1)</f>
        <v>1</v>
      </c>
      <c r="Z29" s="86">
        <f>IF(ISNUMBER(SMALL(Simulation!$K$12:Simulation!$L$26,18)),SMALL(Simulation!$K$12:Simulation!$L$26,18),1)</f>
        <v>1</v>
      </c>
      <c r="AA29" s="86">
        <f>IF(ISNUMBER(SMALL(Simulation!$M$12:Simulation!$N$26,18)),SMALL(Simulation!$M$12:Simulation!$N$26,18),1)</f>
        <v>1</v>
      </c>
      <c r="AB29" s="86">
        <f>IF(ISNUMBER(SMALL(Simulation!$O$12:Simulation!$P$26,18)),SMALL(Simulation!$O$12:Simulation!$P$26,18),1)</f>
        <v>1</v>
      </c>
      <c r="AC29" s="86">
        <f>IF(ISNUMBER(SMALL(Simulation!$Q$12:Simulation!$R$26,18)),SMALL(Simulation!$Q$12:Simulation!$R$26,18),1)</f>
        <v>1</v>
      </c>
      <c r="AD29" s="86">
        <f>IF(ISNUMBER(SMALL(Simulation!$S$12:Simulation!$T$26,18)),SMALL(Simulation!$S$12:Simulation!$T$26,18),1)</f>
        <v>1</v>
      </c>
      <c r="AE29" s="86">
        <f>IF(ISNUMBER(SMALL(Simulation!$U$12:Simulation!$V$26,18)),SMALL(Simulation!$U$12:Simulation!$V$26,18),1)</f>
        <v>1</v>
      </c>
      <c r="AF29" s="86">
        <f>IF(ISNUMBER(SMALL(Simulation!$W$12:Simulation!$X$26,18)),SMALL(Simulation!$W$12:Simulation!$X$26,18),1)</f>
        <v>1</v>
      </c>
    </row>
    <row r="30" spans="24:32" ht="12.75">
      <c r="X30" s="86">
        <f>IF(ISNUMBER(SMALL(Simulation!$G$12:Simulation!$H$26,19)),SMALL(Simulation!$G$12:Simulation!$H$26,19),1)</f>
        <v>1</v>
      </c>
      <c r="Y30" s="86">
        <f>IF(ISNUMBER(SMALL(Simulation!$I$12:Simulation!$J$26,19)),SMALL(Simulation!$I$12:Simulation!$J$26,19),1)</f>
        <v>1</v>
      </c>
      <c r="Z30" s="86">
        <f>IF(ISNUMBER(SMALL(Simulation!$K$12:Simulation!$L$26,19)),SMALL(Simulation!$K$12:Simulation!$L$26,19),1)</f>
        <v>1</v>
      </c>
      <c r="AA30" s="86">
        <f>IF(ISNUMBER(SMALL(Simulation!$M$12:Simulation!$N$26,19)),SMALL(Simulation!$M$12:Simulation!$N$26,19),1)</f>
        <v>1</v>
      </c>
      <c r="AB30" s="86">
        <f>IF(ISNUMBER(SMALL(Simulation!$O$12:Simulation!$P$26,19)),SMALL(Simulation!$O$12:Simulation!$P$26,19),1)</f>
        <v>1</v>
      </c>
      <c r="AC30" s="86">
        <f>IF(ISNUMBER(SMALL(Simulation!$Q$12:Simulation!$R$26,19)),SMALL(Simulation!$Q$12:Simulation!$R$26,19),1)</f>
        <v>1</v>
      </c>
      <c r="AD30" s="86">
        <f>IF(ISNUMBER(SMALL(Simulation!$S$12:Simulation!$T$26,19)),SMALL(Simulation!$S$12:Simulation!$T$26,19),1)</f>
        <v>1</v>
      </c>
      <c r="AE30" s="86">
        <f>IF(ISNUMBER(SMALL(Simulation!$U$12:Simulation!$V$26,19)),SMALL(Simulation!$U$12:Simulation!$V$26,19),1)</f>
        <v>1</v>
      </c>
      <c r="AF30" s="86">
        <f>IF(ISNUMBER(SMALL(Simulation!$W$12:Simulation!$X$26,19)),SMALL(Simulation!$W$12:Simulation!$X$26,19),1)</f>
        <v>1</v>
      </c>
    </row>
    <row r="31" spans="24:32" ht="12.75">
      <c r="X31" s="86">
        <f>IF(ISNUMBER(SMALL(Simulation!$G$12:Simulation!$H$26,20)),SMALL(Simulation!$G$12:Simulation!$H$26,20),1)</f>
        <v>1</v>
      </c>
      <c r="Y31" s="86">
        <f>IF(ISNUMBER(SMALL(Simulation!$I$12:Simulation!$J$26,20)),SMALL(Simulation!$I$12:Simulation!$J$26,20),1)</f>
        <v>1</v>
      </c>
      <c r="Z31" s="86">
        <f>IF(ISNUMBER(SMALL(Simulation!$K$12:Simulation!$L$26,20)),SMALL(Simulation!$K$12:Simulation!$L$26,20),1)</f>
        <v>1</v>
      </c>
      <c r="AA31" s="86">
        <f>IF(ISNUMBER(SMALL(Simulation!$M$12:Simulation!$N$26,20)),SMALL(Simulation!$M$12:Simulation!$N$26,20),1)</f>
        <v>1</v>
      </c>
      <c r="AB31" s="86">
        <f>IF(ISNUMBER(SMALL(Simulation!$O$12:Simulation!$P$26,20)),SMALL(Simulation!$O$12:Simulation!$P$26,20),1)</f>
        <v>1</v>
      </c>
      <c r="AC31" s="86">
        <f>IF(ISNUMBER(SMALL(Simulation!$Q$12:Simulation!$R$26,20)),SMALL(Simulation!$Q$12:Simulation!$R$26,20),1)</f>
        <v>1</v>
      </c>
      <c r="AD31" s="86">
        <f>IF(ISNUMBER(SMALL(Simulation!$S$12:Simulation!$T$26,20)),SMALL(Simulation!$S$12:Simulation!$T$26,20),1)</f>
        <v>1</v>
      </c>
      <c r="AE31" s="86">
        <f>IF(ISNUMBER(SMALL(Simulation!$U$12:Simulation!$V$26,20)),SMALL(Simulation!$U$12:Simulation!$V$26,20),1)</f>
        <v>1</v>
      </c>
      <c r="AF31" s="86">
        <f>IF(ISNUMBER(SMALL(Simulation!$W$12:Simulation!$X$26,20)),SMALL(Simulation!$W$12:Simulation!$X$26,20),1)</f>
        <v>1</v>
      </c>
    </row>
    <row r="32" spans="24:32" ht="12.75">
      <c r="X32" s="86">
        <f>IF(ISNUMBER(SMALL(Simulation!$G$12:Simulation!$H$26,21)),SMALL(Simulation!$G$12:Simulation!$H$26,21),1)</f>
        <v>1</v>
      </c>
      <c r="Y32" s="86">
        <f>IF(ISNUMBER(SMALL(Simulation!$I$12:Simulation!$J$26,21)),SMALL(Simulation!$I$12:Simulation!$J$26,21),1)</f>
        <v>1</v>
      </c>
      <c r="Z32" s="86">
        <f>IF(ISNUMBER(SMALL(Simulation!$K$12:Simulation!$L$26,21)),SMALL(Simulation!$K$12:Simulation!$L$26,21),1)</f>
        <v>1</v>
      </c>
      <c r="AA32" s="86">
        <f>IF(ISNUMBER(SMALL(Simulation!$M$12:Simulation!$N$26,21)),SMALL(Simulation!$M$12:Simulation!$N$26,21),1)</f>
        <v>1</v>
      </c>
      <c r="AB32" s="86">
        <f>IF(ISNUMBER(SMALL(Simulation!$O$12:Simulation!$P$26,21)),SMALL(Simulation!$O$12:Simulation!$P$26,21),1)</f>
        <v>1</v>
      </c>
      <c r="AC32" s="86">
        <f>IF(ISNUMBER(SMALL(Simulation!$Q$12:Simulation!$R$26,21)),SMALL(Simulation!$Q$12:Simulation!$R$26,21),1)</f>
        <v>1</v>
      </c>
      <c r="AD32" s="86">
        <f>IF(ISNUMBER(SMALL(Simulation!$S$12:Simulation!$T$26,21)),SMALL(Simulation!$S$12:Simulation!$T$26,21),1)</f>
        <v>1</v>
      </c>
      <c r="AE32" s="86">
        <f>IF(ISNUMBER(SMALL(Simulation!$U$12:Simulation!$V$26,21)),SMALL(Simulation!$U$12:Simulation!$V$26,21),1)</f>
        <v>1</v>
      </c>
      <c r="AF32" s="86">
        <f>IF(ISNUMBER(SMALL(Simulation!$W$12:Simulation!$X$26,21)),SMALL(Simulation!$W$12:Simulation!$X$26,21),1)</f>
        <v>1</v>
      </c>
    </row>
    <row r="33" spans="24:32" ht="12.75">
      <c r="X33" s="86">
        <f>IF(ISNUMBER(SMALL(Simulation!$G$12:Simulation!$H$26,22)),SMALL(Simulation!$G$12:Simulation!$H$26,22),1)</f>
        <v>1</v>
      </c>
      <c r="Y33" s="86">
        <f>IF(ISNUMBER(SMALL(Simulation!$I$12:Simulation!$J$26,22)),SMALL(Simulation!$I$12:Simulation!$J$26,22),1)</f>
        <v>1</v>
      </c>
      <c r="Z33" s="86">
        <f>IF(ISNUMBER(SMALL(Simulation!$K$12:Simulation!$L$26,22)),SMALL(Simulation!$K$12:Simulation!$L$26,22),1)</f>
        <v>1</v>
      </c>
      <c r="AA33" s="86">
        <f>IF(ISNUMBER(SMALL(Simulation!$M$12:Simulation!$N$26,22)),SMALL(Simulation!$M$12:Simulation!$N$26,22),1)</f>
        <v>1</v>
      </c>
      <c r="AB33" s="86">
        <f>IF(ISNUMBER(SMALL(Simulation!$O$12:Simulation!$P$26,22)),SMALL(Simulation!$O$12:Simulation!$P$26,22),1)</f>
        <v>1</v>
      </c>
      <c r="AC33" s="86">
        <f>IF(ISNUMBER(SMALL(Simulation!$Q$12:Simulation!$R$26,22)),SMALL(Simulation!$Q$12:Simulation!$R$26,22),1)</f>
        <v>1</v>
      </c>
      <c r="AD33" s="86">
        <f>IF(ISNUMBER(SMALL(Simulation!$S$12:Simulation!$T$26,22)),SMALL(Simulation!$S$12:Simulation!$T$26,22),1)</f>
        <v>1</v>
      </c>
      <c r="AE33" s="86">
        <f>IF(ISNUMBER(SMALL(Simulation!$U$12:Simulation!$V$26,22)),SMALL(Simulation!$U$12:Simulation!$V$26,22),1)</f>
        <v>1</v>
      </c>
      <c r="AF33" s="86">
        <f>IF(ISNUMBER(SMALL(Simulation!$W$12:Simulation!$X$26,22)),SMALL(Simulation!$W$12:Simulation!$X$26,22),1)</f>
        <v>1</v>
      </c>
    </row>
    <row r="34" spans="24:32" ht="12.75">
      <c r="X34" s="86">
        <f>IF(ISNUMBER(SMALL(Simulation!$G$12:Simulation!$H$26,23)),SMALL(Simulation!$G$12:Simulation!$H$26,23),1)</f>
        <v>1</v>
      </c>
      <c r="Y34" s="86">
        <f>IF(ISNUMBER(SMALL(Simulation!$I$12:Simulation!$J$26,23)),SMALL(Simulation!$I$12:Simulation!$J$26,23),1)</f>
        <v>1</v>
      </c>
      <c r="Z34" s="86">
        <f>IF(ISNUMBER(SMALL(Simulation!$K$12:Simulation!$L$26,23)),SMALL(Simulation!$K$12:Simulation!$L$26,23),1)</f>
        <v>1</v>
      </c>
      <c r="AA34" s="86">
        <f>IF(ISNUMBER(SMALL(Simulation!$M$12:Simulation!$N$26,23)),SMALL(Simulation!$M$12:Simulation!$N$26,23),1)</f>
        <v>1</v>
      </c>
      <c r="AB34" s="86">
        <f>IF(ISNUMBER(SMALL(Simulation!$O$12:Simulation!$P$26,23)),SMALL(Simulation!$O$12:Simulation!$P$26,23),1)</f>
        <v>1</v>
      </c>
      <c r="AC34" s="86">
        <f>IF(ISNUMBER(SMALL(Simulation!$Q$12:Simulation!$R$26,23)),SMALL(Simulation!$Q$12:Simulation!$R$26,23),1)</f>
        <v>1</v>
      </c>
      <c r="AD34" s="86">
        <f>IF(ISNUMBER(SMALL(Simulation!$S$12:Simulation!$T$26,23)),SMALL(Simulation!$S$12:Simulation!$T$26,23),1)</f>
        <v>1</v>
      </c>
      <c r="AE34" s="86">
        <f>IF(ISNUMBER(SMALL(Simulation!$U$12:Simulation!$V$26,23)),SMALL(Simulation!$U$12:Simulation!$V$26,23),1)</f>
        <v>1</v>
      </c>
      <c r="AF34" s="86">
        <f>IF(ISNUMBER(SMALL(Simulation!$W$12:Simulation!$X$26,23)),SMALL(Simulation!$W$12:Simulation!$X$26,23),1)</f>
        <v>1</v>
      </c>
    </row>
    <row r="35" spans="24:32" ht="12.75">
      <c r="X35" s="86">
        <f>IF(ISNUMBER(SMALL(Simulation!$G$12:Simulation!$H$26,24)),SMALL(Simulation!$G$12:Simulation!$H$26,24),1)</f>
        <v>1</v>
      </c>
      <c r="Y35" s="86">
        <f>IF(ISNUMBER(SMALL(Simulation!$I$12:Simulation!$J$26,24)),SMALL(Simulation!$I$12:Simulation!$J$26,24),1)</f>
        <v>1</v>
      </c>
      <c r="Z35" s="86">
        <f>IF(ISNUMBER(SMALL(Simulation!$K$12:Simulation!$L$26,24)),SMALL(Simulation!$K$12:Simulation!$L$26,24),1)</f>
        <v>1</v>
      </c>
      <c r="AA35" s="86">
        <f>IF(ISNUMBER(SMALL(Simulation!$M$12:Simulation!$N$26,24)),SMALL(Simulation!$M$12:Simulation!$N$26,24),1)</f>
        <v>1</v>
      </c>
      <c r="AB35" s="86">
        <f>IF(ISNUMBER(SMALL(Simulation!$O$12:Simulation!$P$26,24)),SMALL(Simulation!$O$12:Simulation!$P$26,24),1)</f>
        <v>1</v>
      </c>
      <c r="AC35" s="86">
        <f>IF(ISNUMBER(SMALL(Simulation!$Q$12:Simulation!$R$26,24)),SMALL(Simulation!$Q$12:Simulation!$R$26,24),1)</f>
        <v>1</v>
      </c>
      <c r="AD35" s="86">
        <f>IF(ISNUMBER(SMALL(Simulation!$S$12:Simulation!$T$26,24)),SMALL(Simulation!$S$12:Simulation!$T$26,24),1)</f>
        <v>1</v>
      </c>
      <c r="AE35" s="86">
        <f>IF(ISNUMBER(SMALL(Simulation!$U$12:Simulation!$V$26,24)),SMALL(Simulation!$U$12:Simulation!$V$26,24),1)</f>
        <v>1</v>
      </c>
      <c r="AF35" s="86">
        <f>IF(ISNUMBER(SMALL(Simulation!$W$12:Simulation!$X$26,24)),SMALL(Simulation!$W$12:Simulation!$X$26,24),1)</f>
        <v>1</v>
      </c>
    </row>
    <row r="36" spans="24:32" ht="12.75">
      <c r="X36" s="86">
        <f>IF(ISNUMBER(SMALL(Simulation!$G$12:Simulation!$H$26,25)),SMALL(Simulation!$G$12:Simulation!$H$26,25),1)</f>
        <v>1</v>
      </c>
      <c r="Y36" s="86">
        <f>IF(ISNUMBER(SMALL(Simulation!$I$12:Simulation!$J$26,25)),SMALL(Simulation!$I$12:Simulation!$J$26,25),1)</f>
        <v>1</v>
      </c>
      <c r="Z36" s="86">
        <f>IF(ISNUMBER(SMALL(Simulation!$K$12:Simulation!$L$26,25)),SMALL(Simulation!$K$12:Simulation!$L$26,25),1)</f>
        <v>1</v>
      </c>
      <c r="AA36" s="86">
        <f>IF(ISNUMBER(SMALL(Simulation!$M$12:Simulation!$N$26,25)),SMALL(Simulation!$M$12:Simulation!$N$26,25),1)</f>
        <v>1</v>
      </c>
      <c r="AB36" s="86">
        <f>IF(ISNUMBER(SMALL(Simulation!$O$12:Simulation!$P$26,25)),SMALL(Simulation!$O$12:Simulation!$P$26,25),1)</f>
        <v>1</v>
      </c>
      <c r="AC36" s="86">
        <f>IF(ISNUMBER(SMALL(Simulation!$Q$12:Simulation!$R$26,25)),SMALL(Simulation!$Q$12:Simulation!$R$26,25),1)</f>
        <v>1</v>
      </c>
      <c r="AD36" s="86">
        <f>IF(ISNUMBER(SMALL(Simulation!$S$12:Simulation!$T$26,25)),SMALL(Simulation!$S$12:Simulation!$T$26,25),1)</f>
        <v>1</v>
      </c>
      <c r="AE36" s="86">
        <f>IF(ISNUMBER(SMALL(Simulation!$U$12:Simulation!$V$26,25)),SMALL(Simulation!$U$12:Simulation!$V$26,25),1)</f>
        <v>1</v>
      </c>
      <c r="AF36" s="86">
        <f>IF(ISNUMBER(SMALL(Simulation!$W$12:Simulation!$X$26,25)),SMALL(Simulation!$W$12:Simulation!$X$26,25),1)</f>
        <v>1</v>
      </c>
    </row>
    <row r="37" spans="24:32" ht="12.75">
      <c r="X37" s="86">
        <f>IF(ISNUMBER(SMALL(Simulation!$G$12:Simulation!$H$26,26)),SMALL(Simulation!$G$12:Simulation!$H$26,26),1)</f>
        <v>1</v>
      </c>
      <c r="Y37" s="86">
        <f>IF(ISNUMBER(SMALL(Simulation!$I$12:Simulation!$J$26,26)),SMALL(Simulation!$I$12:Simulation!$J$26,26),1)</f>
        <v>1</v>
      </c>
      <c r="Z37" s="86">
        <f>IF(ISNUMBER(SMALL(Simulation!$K$12:Simulation!$L$26,26)),SMALL(Simulation!$K$12:Simulation!$L$26,26),1)</f>
        <v>1</v>
      </c>
      <c r="AA37" s="86">
        <f>IF(ISNUMBER(SMALL(Simulation!$M$12:Simulation!$N$26,26)),SMALL(Simulation!$M$12:Simulation!$N$26,26),1)</f>
        <v>1</v>
      </c>
      <c r="AB37" s="86">
        <f>IF(ISNUMBER(SMALL(Simulation!$O$12:Simulation!$P$26,26)),SMALL(Simulation!$O$12:Simulation!$P$26,26),1)</f>
        <v>1</v>
      </c>
      <c r="AC37" s="86">
        <f>IF(ISNUMBER(SMALL(Simulation!$Q$12:Simulation!$R$26,26)),SMALL(Simulation!$Q$12:Simulation!$R$26,26),1)</f>
        <v>1</v>
      </c>
      <c r="AD37" s="86">
        <f>IF(ISNUMBER(SMALL(Simulation!$S$12:Simulation!$T$26,26)),SMALL(Simulation!$S$12:Simulation!$T$26,26),1)</f>
        <v>1</v>
      </c>
      <c r="AE37" s="86">
        <f>IF(ISNUMBER(SMALL(Simulation!$U$12:Simulation!$V$26,26)),SMALL(Simulation!$U$12:Simulation!$V$26,26),1)</f>
        <v>1</v>
      </c>
      <c r="AF37" s="86">
        <f>IF(ISNUMBER(SMALL(Simulation!$W$12:Simulation!$X$26,26)),SMALL(Simulation!$W$12:Simulation!$X$26,26),1)</f>
        <v>1</v>
      </c>
    </row>
    <row r="38" spans="24:32" ht="12.75">
      <c r="X38" s="86">
        <f>IF(ISNUMBER(SMALL(Simulation!$G$12:Simulation!$H$26,27)),SMALL(Simulation!$G$12:Simulation!$H$26,27),1)</f>
        <v>1</v>
      </c>
      <c r="Y38" s="86">
        <f>IF(ISNUMBER(SMALL(Simulation!$I$12:Simulation!$J$26,27)),SMALL(Simulation!$I$12:Simulation!$J$26,27),1)</f>
        <v>1</v>
      </c>
      <c r="Z38" s="86">
        <f>IF(ISNUMBER(SMALL(Simulation!$K$12:Simulation!$L$26,27)),SMALL(Simulation!$K$12:Simulation!$L$26,27),1)</f>
        <v>1</v>
      </c>
      <c r="AA38" s="86">
        <f>IF(ISNUMBER(SMALL(Simulation!$M$12:Simulation!$N$26,27)),SMALL(Simulation!$M$12:Simulation!$N$26,27),1)</f>
        <v>1</v>
      </c>
      <c r="AB38" s="86">
        <f>IF(ISNUMBER(SMALL(Simulation!$O$12:Simulation!$P$26,27)),SMALL(Simulation!$O$12:Simulation!$P$26,27),1)</f>
        <v>1</v>
      </c>
      <c r="AC38" s="86">
        <f>IF(ISNUMBER(SMALL(Simulation!$Q$12:Simulation!$R$26,27)),SMALL(Simulation!$Q$12:Simulation!$R$26,27),1)</f>
        <v>1</v>
      </c>
      <c r="AD38" s="86">
        <f>IF(ISNUMBER(SMALL(Simulation!$S$12:Simulation!$T$26,27)),SMALL(Simulation!$S$12:Simulation!$T$26,27),1)</f>
        <v>1</v>
      </c>
      <c r="AE38" s="86">
        <f>IF(ISNUMBER(SMALL(Simulation!$U$12:Simulation!$V$26,27)),SMALL(Simulation!$U$12:Simulation!$V$26,27),1)</f>
        <v>1</v>
      </c>
      <c r="AF38" s="86">
        <f>IF(ISNUMBER(SMALL(Simulation!$W$12:Simulation!$X$26,27)),SMALL(Simulation!$W$12:Simulation!$X$26,27),1)</f>
        <v>1</v>
      </c>
    </row>
    <row r="39" spans="24:32" ht="12.75">
      <c r="X39" s="86">
        <f>IF(ISNUMBER(SMALL(Simulation!$G$12:Simulation!$H$26,28)),SMALL(Simulation!$G$12:Simulation!$H$26,28),1)</f>
        <v>1</v>
      </c>
      <c r="Y39" s="86">
        <f>IF(ISNUMBER(SMALL(Simulation!$I$12:Simulation!$J$26,28)),SMALL(Simulation!$I$12:Simulation!$J$26,28),1)</f>
        <v>1</v>
      </c>
      <c r="Z39" s="86">
        <f>IF(ISNUMBER(SMALL(Simulation!$K$12:Simulation!$L$26,28)),SMALL(Simulation!$K$12:Simulation!$L$26,28),1)</f>
        <v>1</v>
      </c>
      <c r="AA39" s="86">
        <f>IF(ISNUMBER(SMALL(Simulation!$M$12:Simulation!$N$26,28)),SMALL(Simulation!$M$12:Simulation!$N$26,28),1)</f>
        <v>1</v>
      </c>
      <c r="AB39" s="86">
        <f>IF(ISNUMBER(SMALL(Simulation!$O$12:Simulation!$P$26,28)),SMALL(Simulation!$O$12:Simulation!$P$26,28),1)</f>
        <v>1</v>
      </c>
      <c r="AC39" s="86">
        <f>IF(ISNUMBER(SMALL(Simulation!$Q$12:Simulation!$R$26,28)),SMALL(Simulation!$Q$12:Simulation!$R$26,28),1)</f>
        <v>1</v>
      </c>
      <c r="AD39" s="86">
        <f>IF(ISNUMBER(SMALL(Simulation!$S$12:Simulation!$T$26,28)),SMALL(Simulation!$S$12:Simulation!$T$26,28),1)</f>
        <v>1</v>
      </c>
      <c r="AE39" s="86">
        <f>IF(ISNUMBER(SMALL(Simulation!$U$12:Simulation!$V$26,28)),SMALL(Simulation!$U$12:Simulation!$V$26,28),1)</f>
        <v>1</v>
      </c>
      <c r="AF39" s="86">
        <f>IF(ISNUMBER(SMALL(Simulation!$W$12:Simulation!$X$26,28)),SMALL(Simulation!$W$12:Simulation!$X$26,28),1)</f>
        <v>1</v>
      </c>
    </row>
    <row r="40" spans="24:32" ht="12.75">
      <c r="X40" s="86">
        <f>IF(ISNUMBER(SMALL(Simulation!$G$12:Simulation!$H$26,29)),SMALL(Simulation!$G$12:Simulation!$H$26,29),1)</f>
        <v>1</v>
      </c>
      <c r="Y40" s="86">
        <f>IF(ISNUMBER(SMALL(Simulation!$I$12:Simulation!$J$26,29)),SMALL(Simulation!$I$12:Simulation!$J$26,29),1)</f>
        <v>1</v>
      </c>
      <c r="Z40" s="86">
        <f>IF(ISNUMBER(SMALL(Simulation!$K$12:Simulation!$L$26,29)),SMALL(Simulation!$K$12:Simulation!$L$26,29),1)</f>
        <v>1</v>
      </c>
      <c r="AA40" s="86">
        <f>IF(ISNUMBER(SMALL(Simulation!$M$12:Simulation!$N$26,29)),SMALL(Simulation!$M$12:Simulation!$N$26,29),1)</f>
        <v>1</v>
      </c>
      <c r="AB40" s="86">
        <f>IF(ISNUMBER(SMALL(Simulation!$O$12:Simulation!$P$26,29)),SMALL(Simulation!$O$12:Simulation!$P$26,29),1)</f>
        <v>1</v>
      </c>
      <c r="AC40" s="86">
        <f>IF(ISNUMBER(SMALL(Simulation!$Q$12:Simulation!$R$26,29)),SMALL(Simulation!$Q$12:Simulation!$R$26,29),1)</f>
        <v>1</v>
      </c>
      <c r="AD40" s="86">
        <f>IF(ISNUMBER(SMALL(Simulation!$S$12:Simulation!$T$26,29)),SMALL(Simulation!$S$12:Simulation!$T$26,29),1)</f>
        <v>1</v>
      </c>
      <c r="AE40" s="86">
        <f>IF(ISNUMBER(SMALL(Simulation!$U$12:Simulation!$V$26,29)),SMALL(Simulation!$U$12:Simulation!$V$26,29),1)</f>
        <v>1</v>
      </c>
      <c r="AF40" s="86">
        <f>IF(ISNUMBER(SMALL(Simulation!$W$12:Simulation!$X$26,29)),SMALL(Simulation!$W$12:Simulation!$X$26,29),1)</f>
        <v>1</v>
      </c>
    </row>
    <row r="41" spans="24:32" ht="12.75">
      <c r="X41" s="86">
        <f>IF(ISNUMBER(SMALL(Simulation!$G$12:Simulation!$H$26,30)),SMALL(Simulation!$G$12:Simulation!$H$26,30),1)</f>
        <v>1</v>
      </c>
      <c r="Y41" s="86">
        <f>IF(ISNUMBER(SMALL(Simulation!$I$12:Simulation!$J$26,30)),SMALL(Simulation!$I$12:Simulation!$J$26,30),1)</f>
        <v>1</v>
      </c>
      <c r="Z41" s="86">
        <f>IF(ISNUMBER(SMALL(Simulation!$K$12:Simulation!$L$26,30)),SMALL(Simulation!$K$12:Simulation!$L$26,30),1)</f>
        <v>1</v>
      </c>
      <c r="AA41" s="86">
        <f>IF(ISNUMBER(SMALL(Simulation!$M$12:Simulation!$N$26,30)),SMALL(Simulation!$M$12:Simulation!$N$26,30),1)</f>
        <v>1</v>
      </c>
      <c r="AB41" s="86">
        <f>IF(ISNUMBER(SMALL(Simulation!$O$12:Simulation!$P$26,30)),SMALL(Simulation!$O$12:Simulation!$P$26,30),1)</f>
        <v>1</v>
      </c>
      <c r="AC41" s="86">
        <f>IF(ISNUMBER(SMALL(Simulation!$Q$12:Simulation!$R$26,30)),SMALL(Simulation!$Q$12:Simulation!$R$26,30),1)</f>
        <v>1</v>
      </c>
      <c r="AD41" s="86">
        <f>IF(ISNUMBER(SMALL(Simulation!$S$12:Simulation!$T$26,30)),SMALL(Simulation!$S$12:Simulation!$T$26,30),1)</f>
        <v>1</v>
      </c>
      <c r="AE41" s="86">
        <f>IF(ISNUMBER(SMALL(Simulation!$U$12:Simulation!$V$26,30)),SMALL(Simulation!$U$12:Simulation!$V$26,30),1)</f>
        <v>1</v>
      </c>
      <c r="AF41" s="86">
        <f>IF(ISNUMBER(SMALL(Simulation!$W$12:Simulation!$X$26,30)),SMALL(Simulation!$W$12:Simulation!$X$26,30),1)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88</v>
      </c>
    </row>
    <row r="2" ht="15.75">
      <c r="A2" s="72" t="s">
        <v>57</v>
      </c>
    </row>
    <row r="3" ht="12.75" customHeight="1">
      <c r="B3" s="73" t="s">
        <v>58</v>
      </c>
    </row>
    <row r="4" ht="12.75" customHeight="1">
      <c r="B4" s="73"/>
    </row>
    <row r="5" ht="12.75">
      <c r="A5" s="74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10" ht="12.75">
      <c r="A10" s="74" t="s">
        <v>63</v>
      </c>
    </row>
    <row r="11" ht="12.75">
      <c r="A11" t="s">
        <v>64</v>
      </c>
    </row>
    <row r="12" ht="12.75">
      <c r="A12" t="s">
        <v>89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90</v>
      </c>
    </row>
    <row r="19" ht="12.75">
      <c r="A19" t="s">
        <v>91</v>
      </c>
    </row>
    <row r="20" ht="12.75">
      <c r="A20" t="s">
        <v>70</v>
      </c>
    </row>
    <row r="22" ht="12.75">
      <c r="A22" s="74" t="s">
        <v>71</v>
      </c>
    </row>
    <row r="23" ht="12.75">
      <c r="A23" t="s">
        <v>92</v>
      </c>
    </row>
    <row r="24" ht="12.75">
      <c r="A24" t="s">
        <v>93</v>
      </c>
    </row>
    <row r="25" ht="12.75">
      <c r="A25" t="s">
        <v>89</v>
      </c>
    </row>
    <row r="26" ht="12.75">
      <c r="A26" t="s">
        <v>72</v>
      </c>
    </row>
    <row r="27" ht="12.75">
      <c r="A27" t="s">
        <v>73</v>
      </c>
    </row>
    <row r="29" ht="12.75">
      <c r="A29" s="74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4" ht="12.75">
      <c r="A34" s="74" t="s">
        <v>78</v>
      </c>
    </row>
    <row r="35" ht="12.75">
      <c r="A35" t="s">
        <v>94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95</v>
      </c>
    </row>
    <row r="40" ht="12.75">
      <c r="A40" t="s">
        <v>96</v>
      </c>
    </row>
    <row r="41" ht="12.75">
      <c r="A41" t="s">
        <v>97</v>
      </c>
    </row>
    <row r="43" ht="12.75">
      <c r="A43" s="74" t="s">
        <v>82</v>
      </c>
    </row>
    <row r="44" ht="12.75">
      <c r="A44" t="s">
        <v>98</v>
      </c>
    </row>
    <row r="45" ht="12.75">
      <c r="A45" t="s">
        <v>83</v>
      </c>
    </row>
    <row r="46" ht="12.75">
      <c r="A46" t="s">
        <v>84</v>
      </c>
    </row>
    <row r="47" ht="12.75">
      <c r="A47" t="s">
        <v>85</v>
      </c>
    </row>
    <row r="48" ht="12.75">
      <c r="A48" t="s">
        <v>86</v>
      </c>
    </row>
    <row r="50" ht="12.75">
      <c r="A50" s="74" t="s">
        <v>87</v>
      </c>
    </row>
    <row r="51" ht="12.75">
      <c r="A51" t="s">
        <v>99</v>
      </c>
    </row>
    <row r="52" ht="12.75">
      <c r="A52" t="s">
        <v>100</v>
      </c>
    </row>
    <row r="54" ht="12.75">
      <c r="A54" s="81" t="s">
        <v>101</v>
      </c>
    </row>
    <row r="55" ht="12.75">
      <c r="A55" t="s">
        <v>102</v>
      </c>
    </row>
    <row r="56" ht="12.75">
      <c r="A56" t="s">
        <v>103</v>
      </c>
    </row>
    <row r="57" ht="12.75">
      <c r="A57" t="s">
        <v>104</v>
      </c>
    </row>
    <row r="58" ht="12.75">
      <c r="A58" t="s">
        <v>105</v>
      </c>
    </row>
    <row r="60" ht="12.75">
      <c r="A60" s="75" t="s">
        <v>106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2001-09-17T14:54:39Z</dcterms:created>
  <dcterms:modified xsi:type="dcterms:W3CDTF">2001-09-17T14:54:56Z</dcterms:modified>
  <cp:category/>
  <cp:version/>
  <cp:contentType/>
  <cp:contentStatus/>
</cp:coreProperties>
</file>