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renege_time">'Computations'!$E$2</definedName>
    <definedName name="Renege_time_nonserial">'Data'!$E$4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<sst xmlns="http://schemas.openxmlformats.org/spreadsheetml/2006/main" count="189" uniqueCount="107">
  <si>
    <t>Spreadsheet Simulation Queueing Engine:  5 Servers with Reneging</t>
  </si>
  <si>
    <t>Start Time</t>
  </si>
  <si>
    <t>Close Time</t>
  </si>
  <si>
    <t>Renege if waiting time exceeds</t>
  </si>
  <si>
    <t>minutes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</si>
  <si>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</si>
  <si>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</si>
  <si>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</si>
  <si>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</si>
  <si>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</si>
  <si>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</si>
  <si>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</si>
  <si>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</si>
  <si>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</si>
  <si>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</si>
  <si>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</si>
  <si>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</si>
  <si>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</si>
  <si>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Interarrival</t>
  </si>
  <si>
    <t>Arrival</t>
  </si>
  <si>
    <t>Renege</t>
  </si>
  <si>
    <t xml:space="preserve">Server #1 </t>
  </si>
  <si>
    <t>Server #2</t>
  </si>
  <si>
    <t>Server #3</t>
  </si>
  <si>
    <t>Server #4</t>
  </si>
  <si>
    <t>Server #5</t>
  </si>
  <si>
    <t>Wait</t>
  </si>
  <si>
    <t>Total</t>
  </si>
  <si>
    <t>#</t>
  </si>
  <si>
    <t>Renege?</t>
  </si>
  <si>
    <t>Depart</t>
  </si>
  <si>
    <t>Start</t>
  </si>
  <si>
    <t>End</t>
  </si>
  <si>
    <t>Wait Time</t>
  </si>
  <si>
    <t>(hr:min)</t>
  </si>
  <si>
    <t>start</t>
  </si>
  <si>
    <t>Renege time serial (Named "renege_time")</t>
  </si>
  <si>
    <t>Potential</t>
  </si>
  <si>
    <t xml:space="preserve">Service </t>
  </si>
  <si>
    <t>#1 Start</t>
  </si>
  <si>
    <t>#2 Start</t>
  </si>
  <si>
    <t>#3 Start</t>
  </si>
  <si>
    <t>#4 Start</t>
  </si>
  <si>
    <t>#5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</si>
  <si>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</si>
  <si>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</si>
  <si>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</si>
  <si>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</si>
  <si>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</si>
  <si>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</si>
  <si>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</si>
  <si>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</si>
  <si>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</si>
  <si>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</si>
  <si>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</si>
  <si>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</si>
  <si>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</si>
  <si>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</si>
  <si>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</si>
  <si>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</si>
  <si>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</si>
  <si>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</si>
  <si>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</si>
  <si>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</si>
  <si>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</si>
  <si>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</si>
  <si>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</si>
  <si>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</si>
  <si>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</si>
  <si>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</si>
  <si>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</si>
  <si>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</si>
  <si>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</si>
  <si>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</si>
  <si>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</si>
  <si>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</si>
  <si>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</si>
  <si>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</si>
  <si>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</si>
  <si>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</si>
  <si>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</si>
  <si>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</si>
  <si>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</si>
  <si>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</si>
  <si>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</si>
  <si>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</si>
  <si>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</si>
  <si>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</si>
  <si>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</si>
  <si>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</si>
  <si>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</si>
  <si>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</si>
  <si>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</si>
  <si>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</si>
  <si>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</si>
  <si>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</si>
  <si>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</si>
  <si>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</si>
  <si>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</si>
  <si>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Reneges)</t>
  </si>
  <si>
    <t>Aggregate</t>
  </si>
  <si>
    <t>Time of Change in Server Activity</t>
  </si>
  <si>
    <t>Server 1</t>
  </si>
  <si>
    <t>Server 2</t>
  </si>
  <si>
    <t>Server 3</t>
  </si>
  <si>
    <t>Server 4</t>
  </si>
  <si>
    <t>Server 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</si>
</sst>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20" fontId="0" fillId="0" borderId="2" xfId="0" applyNumberFormat="1" applyFont="1" applyBorder="1" applyAlignment="1" applyProtection="1">
      <alignment horizontal="centerContinuous" vertical="center"/>
      <protection locked="0"/>
    </xf>
    <xf numFmtId="0" fontId="0" fillId="0" borderId="2" xfId="0" applyBorder="1" applyAlignment="1" applyProtection="1">
      <alignment horizontal="centerContinuous" vertical="center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20" fontId="3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0.3819444444444444</c:v>
                </c:pt>
                <c:pt idx="1">
                  <c:v>0.38888888888888884</c:v>
                </c:pt>
                <c:pt idx="2">
                  <c:v>0.39583333333333326</c:v>
                </c:pt>
                <c:pt idx="3">
                  <c:v>0.3965277777777777</c:v>
                </c:pt>
                <c:pt idx="4">
                  <c:v>0.39722222222222214</c:v>
                </c:pt>
                <c:pt idx="5">
                  <c:v>0.3979166666666666</c:v>
                </c:pt>
                <c:pt idx="6">
                  <c:v>0.398611111111111</c:v>
                </c:pt>
                <c:pt idx="7">
                  <c:v>0.39930555555555547</c:v>
                </c:pt>
                <c:pt idx="8">
                  <c:v>0.3999999999999999</c:v>
                </c:pt>
                <c:pt idx="9">
                  <c:v>0.40694444444444433</c:v>
                </c:pt>
                <c:pt idx="10">
                  <c:v>0.41388888888888875</c:v>
                </c:pt>
                <c:pt idx="11">
                  <c:v>0.4159722222222221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Computations!$R$12:$R$26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0.001388888888888884</c:v>
                </c:pt>
                <c:pt idx="8">
                  <c:v>0.001388888888888884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Computations!$Q$12:$Q$26</c:f>
              <c:numCache>
                <c:ptCount val="15"/>
                <c:pt idx="0">
                  <c:v>0.00625</c:v>
                </c:pt>
                <c:pt idx="1">
                  <c:v>0.004166666666666667</c:v>
                </c:pt>
                <c:pt idx="2">
                  <c:v>0.00625</c:v>
                </c:pt>
                <c:pt idx="3">
                  <c:v>0.004166666666666667</c:v>
                </c:pt>
                <c:pt idx="4">
                  <c:v>0.00625</c:v>
                </c:pt>
                <c:pt idx="5">
                  <c:v>0.00625</c:v>
                </c:pt>
                <c:pt idx="6">
                  <c:v>0.00625</c:v>
                </c:pt>
                <c:pt idx="7">
                  <c:v>0.004166666666666667</c:v>
                </c:pt>
                <c:pt idx="8">
                  <c:v>0</c:v>
                </c:pt>
                <c:pt idx="9">
                  <c:v>0.004166666666666667</c:v>
                </c:pt>
                <c:pt idx="10">
                  <c:v>0.0020833333333333333</c:v>
                </c:pt>
                <c:pt idx="11">
                  <c:v>0.004166666666666667</c:v>
                </c:pt>
                <c:pt idx="12">
                  <c:v>0.0020833333333333333</c:v>
                </c:pt>
                <c:pt idx="13">
                  <c:v>0.00625</c:v>
                </c:pt>
                <c:pt idx="14">
                  <c:v>0.0020833333333333333</c:v>
                </c:pt>
              </c:numCache>
            </c:numRef>
          </c:val>
        </c:ser>
        <c:overlap val="100"/>
        <c:gapWidth val="0"/>
        <c:axId val="46772413"/>
        <c:axId val="24383802"/>
      </c:barChart>
      <c:catAx>
        <c:axId val="46772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83802"/>
        <c:crosses val="autoZero"/>
        <c:auto val="1"/>
        <c:lblOffset val="100"/>
        <c:noMultiLvlLbl val="0"/>
      </c:catAx>
      <c:valAx>
        <c:axId val="24383802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72413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Computations!$T$41:$X$41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Computations!$T$40:$X$40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Computations!$T$39:$X$39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Computations!$T$38:$X$38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Computations!$T$37:$X$37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Computations!$T$36:$X$36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Computations!$T$35:$X$35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Computations!$T$34:$X$34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Computations!$T$33:$X$33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Computations!$T$32:$X$32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Computations!$T$31:$X$31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Computations!$T$30:$X$30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Computations!$T$29:$X$29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Computations!$T$28:$X$28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Computations!$T$27:$X$27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Computations!$T$26:$X$26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Computations!$T$25:$X$25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Computations!$T$24:$X$24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Computations!$T$23:$X$23</c:f>
              <c:numCache>
                <c:ptCount val="5"/>
                <c:pt idx="0">
                  <c:v>0.42013888888888873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Computations!$T$22:$X$22</c:f>
              <c:numCache>
                <c:ptCount val="5"/>
                <c:pt idx="0">
                  <c:v>0.4159722222222221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Computations!$T$21:$X$21</c:f>
              <c:numCache>
                <c:ptCount val="5"/>
                <c:pt idx="0">
                  <c:v>0.4159722222222221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Computations!$T$20:$X$20</c:f>
              <c:numCache>
                <c:ptCount val="5"/>
                <c:pt idx="0">
                  <c:v>0.41388888888888875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Computations!$T$19:$X$19</c:f>
              <c:numCache>
                <c:ptCount val="5"/>
                <c:pt idx="0">
                  <c:v>0.411111111111111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Computations!$T$18:$X$18</c:f>
              <c:numCache>
                <c:ptCount val="5"/>
                <c:pt idx="0">
                  <c:v>0.40694444444444433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Computations!$T$17:$X$17</c:f>
              <c:numCache>
                <c:ptCount val="5"/>
                <c:pt idx="0">
                  <c:v>0.40208333333333324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Computations!$T$16:$X$16</c:f>
              <c:numCache>
                <c:ptCount val="5"/>
                <c:pt idx="0">
                  <c:v>0.39583333333333326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Computations!$T$15:$X$15</c:f>
              <c:numCache>
                <c:ptCount val="5"/>
                <c:pt idx="0">
                  <c:v>0.3930555555555555</c:v>
                </c:pt>
                <c:pt idx="1">
                  <c:v>0.404861111111111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Computations!$T$14:$X$14</c:f>
              <c:numCache>
                <c:ptCount val="5"/>
                <c:pt idx="0">
                  <c:v>0.38888888888888884</c:v>
                </c:pt>
                <c:pt idx="1">
                  <c:v>0.40069444444444435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Computations!$T$13:$X$13</c:f>
              <c:numCache>
                <c:ptCount val="5"/>
                <c:pt idx="0">
                  <c:v>0.3881944444444444</c:v>
                </c:pt>
                <c:pt idx="1">
                  <c:v>0.40069444444444435</c:v>
                </c:pt>
                <c:pt idx="2">
                  <c:v>0.4034722222222221</c:v>
                </c:pt>
                <c:pt idx="3">
                  <c:v>0.40416666666666656</c:v>
                </c:pt>
                <c:pt idx="4">
                  <c:v>0.404861111111111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Computations!$T$11:$X$11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Computations!$T$12:$X$12</c:f>
              <c:numCache>
                <c:ptCount val="5"/>
                <c:pt idx="0">
                  <c:v>0.3819444444444444</c:v>
                </c:pt>
                <c:pt idx="1">
                  <c:v>0.3965277777777777</c:v>
                </c:pt>
                <c:pt idx="2">
                  <c:v>0.39722222222222214</c:v>
                </c:pt>
                <c:pt idx="3">
                  <c:v>0.3979166666666666</c:v>
                </c:pt>
                <c:pt idx="4">
                  <c:v>0.398611111111111</c:v>
                </c:pt>
              </c:numCache>
            </c:numRef>
          </c:val>
        </c:ser>
        <c:overlap val="100"/>
        <c:axId val="23529267"/>
        <c:axId val="52184056"/>
      </c:barChart>
      <c:catAx>
        <c:axId val="23529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184056"/>
        <c:crosses val="autoZero"/>
        <c:auto val="1"/>
        <c:lblOffset val="100"/>
        <c:noMultiLvlLbl val="0"/>
      </c:catAx>
      <c:valAx>
        <c:axId val="52184056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529267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114300</xdr:rowOff>
    </xdr:from>
    <xdr:to>
      <xdr:col>10</xdr:col>
      <xdr:colOff>47625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4495800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27</xdr:row>
      <xdr:rowOff>114300</xdr:rowOff>
    </xdr:from>
    <xdr:to>
      <xdr:col>20</xdr:col>
      <xdr:colOff>142875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210300" y="4495800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2">
      <selection activeCell="D9" sqref="D9"/>
    </sheetView>
  </sheetViews>
  <sheetFormatPr defaultColWidth="9.140625" defaultRowHeight="12.75"/>
  <cols>
    <col min="1" max="1" width="10.7109375" style="3" customWidth="1"/>
    <col min="2" max="3" width="8.8515625" style="3" customWidth="1"/>
    <col min="4" max="4" width="12.140625" style="3" customWidth="1"/>
    <col min="5" max="5" width="8.8515625" style="3" customWidth="1"/>
    <col min="6" max="6" width="12.00390625" style="3" customWidth="1"/>
    <col min="7" max="7" width="9.8515625" style="3" customWidth="1"/>
    <col min="8" max="8" width="9.7109375" style="3" customWidth="1"/>
    <col min="9" max="9" width="9.57421875" style="3" customWidth="1"/>
    <col min="10" max="255" width="8.8515625" style="3" customWidth="1"/>
    <col min="256" max="16384" width="9.140625" style="3" customWidth="1"/>
  </cols>
  <sheetData>
    <row r="1" spans="1:7" ht="12.75">
      <c r="A1" s="1"/>
      <c r="B1" s="1"/>
      <c r="C1" s="1"/>
      <c r="D1" s="2"/>
      <c r="E1" s="2"/>
      <c r="F1" s="2"/>
      <c r="G1" s="2"/>
    </row>
    <row r="2" spans="1:9" ht="16.5" thickBot="1">
      <c r="A2" s="1"/>
      <c r="B2" s="33" t="s">
        <v>0</v>
      </c>
      <c r="C2" s="34"/>
      <c r="D2" s="35"/>
      <c r="E2" s="35"/>
      <c r="F2" s="35"/>
      <c r="G2" s="35"/>
      <c r="H2" s="36"/>
      <c r="I2" s="36"/>
    </row>
    <row r="3" spans="1:7" ht="13.5" thickBot="1">
      <c r="A3" s="4" t="s">
        <v>1</v>
      </c>
      <c r="B3" s="1"/>
      <c r="C3" s="4" t="s">
        <v>2</v>
      </c>
      <c r="E3" s="5" t="s">
        <v>3</v>
      </c>
      <c r="F3" s="4"/>
      <c r="G3" s="2"/>
    </row>
    <row r="4" spans="1:6" ht="13.5" thickBot="1">
      <c r="A4" s="6">
        <v>0.375</v>
      </c>
      <c r="B4" s="1"/>
      <c r="C4" s="6">
        <v>0.4166666666666667</v>
      </c>
      <c r="E4" s="7">
        <v>2</v>
      </c>
      <c r="F4" s="8" t="s">
        <v>4</v>
      </c>
    </row>
    <row r="7" spans="1:9" ht="13.5" thickBot="1">
      <c r="A7" s="10" t="s">
        <v>5</v>
      </c>
      <c r="B7" s="10"/>
      <c r="C7" s="10"/>
      <c r="D7" s="10"/>
      <c r="E7" s="11"/>
      <c r="F7" s="12" t="s">
        <v>6</v>
      </c>
      <c r="G7" s="10"/>
      <c r="H7" s="10"/>
      <c r="I7" s="10"/>
    </row>
    <row r="8" spans="1:9" ht="12.75">
      <c r="A8" s="13"/>
      <c r="B8" s="14" t="s">
        <v>7</v>
      </c>
      <c r="C8" s="14" t="s">
        <v>8</v>
      </c>
      <c r="D8" s="15" t="s">
        <v>9</v>
      </c>
      <c r="E8" s="11"/>
      <c r="F8" s="13"/>
      <c r="G8" s="14" t="s">
        <v>10</v>
      </c>
      <c r="H8" s="14" t="s">
        <v>11</v>
      </c>
      <c r="I8" s="15" t="s">
        <v>12</v>
      </c>
    </row>
    <row r="9" spans="1:9" ht="12.75">
      <c r="A9" s="16" t="s">
        <v>13</v>
      </c>
      <c r="B9" s="17" t="s">
        <v>14</v>
      </c>
      <c r="C9" s="17" t="s">
        <v>14</v>
      </c>
      <c r="D9" s="18" t="s">
        <v>15</v>
      </c>
      <c r="E9" s="11"/>
      <c r="F9" s="16" t="s">
        <v>13</v>
      </c>
      <c r="G9" s="17" t="s">
        <v>14</v>
      </c>
      <c r="H9" s="17" t="s">
        <v>14</v>
      </c>
      <c r="I9" s="18" t="s">
        <v>15</v>
      </c>
    </row>
    <row r="10" spans="1:9" ht="13.5" thickBot="1">
      <c r="A10" s="19"/>
      <c r="B10" s="20"/>
      <c r="C10" s="20"/>
      <c r="D10" s="21" t="s">
        <v>16</v>
      </c>
      <c r="E10" s="11"/>
      <c r="F10" s="22"/>
      <c r="G10" s="20"/>
      <c r="H10" s="20"/>
      <c r="I10" s="21" t="s">
        <v>16</v>
      </c>
    </row>
    <row r="11" spans="1:9" ht="12.75">
      <c r="A11" s="23">
        <v>0.45</v>
      </c>
      <c r="B11" s="24">
        <v>0</v>
      </c>
      <c r="C11" s="37">
        <f>B11+A11</f>
        <v>0.45</v>
      </c>
      <c r="D11" s="25">
        <v>1</v>
      </c>
      <c r="E11" s="11"/>
      <c r="F11" s="23">
        <v>0.3</v>
      </c>
      <c r="G11" s="24">
        <v>0</v>
      </c>
      <c r="H11" s="37">
        <f>G11+F11</f>
        <v>0.3</v>
      </c>
      <c r="I11" s="25">
        <v>3</v>
      </c>
    </row>
    <row r="12" spans="1:9" ht="12.75">
      <c r="A12" s="23">
        <v>0.25</v>
      </c>
      <c r="B12" s="24">
        <f>C11</f>
        <v>0.45</v>
      </c>
      <c r="C12" s="37">
        <f>B12+A12</f>
        <v>0.7</v>
      </c>
      <c r="D12" s="25">
        <v>3</v>
      </c>
      <c r="E12" s="11"/>
      <c r="F12" s="23">
        <v>0.35</v>
      </c>
      <c r="G12" s="24">
        <f>H11</f>
        <v>0.3</v>
      </c>
      <c r="H12" s="37">
        <f>G12+F12</f>
        <v>0.6499999999999999</v>
      </c>
      <c r="I12" s="25">
        <v>6</v>
      </c>
    </row>
    <row r="13" spans="1:9" ht="13.5" thickBot="1">
      <c r="A13" s="23">
        <v>0.1</v>
      </c>
      <c r="B13" s="24">
        <f>C12</f>
        <v>0.7</v>
      </c>
      <c r="C13" s="37">
        <f>B13+A13</f>
        <v>0.7999999999999999</v>
      </c>
      <c r="D13" s="25">
        <v>5</v>
      </c>
      <c r="E13" s="11"/>
      <c r="F13" s="26">
        <v>0.35</v>
      </c>
      <c r="G13" s="27">
        <f>H12</f>
        <v>0.6499999999999999</v>
      </c>
      <c r="H13" s="38">
        <f>G13+F13</f>
        <v>0.9999999999999999</v>
      </c>
      <c r="I13" s="28">
        <v>9</v>
      </c>
    </row>
    <row r="14" spans="1:9" ht="13.5" thickBot="1">
      <c r="A14" s="26">
        <v>0.2</v>
      </c>
      <c r="B14" s="27">
        <f>C13</f>
        <v>0.7999999999999999</v>
      </c>
      <c r="C14" s="38">
        <f>B14+A14</f>
        <v>1</v>
      </c>
      <c r="D14" s="28">
        <v>10</v>
      </c>
      <c r="E14" s="11"/>
      <c r="F14" s="29"/>
      <c r="G14" s="29"/>
      <c r="H14" s="29"/>
      <c r="I14" s="29"/>
    </row>
    <row r="15" spans="1:9" ht="12.75">
      <c r="A15" s="29"/>
      <c r="B15" s="29"/>
      <c r="C15" s="30"/>
      <c r="D15" s="29"/>
      <c r="E15" s="11"/>
      <c r="F15" s="29"/>
      <c r="G15" s="29"/>
      <c r="H15" s="29"/>
      <c r="I15" s="29"/>
    </row>
    <row r="16" spans="1:9" ht="12.75">
      <c r="A16" s="29"/>
      <c r="B16" s="29"/>
      <c r="C16" s="30"/>
      <c r="D16" s="29"/>
      <c r="E16" s="11"/>
      <c r="F16" s="29"/>
      <c r="G16" s="29"/>
      <c r="H16" s="29"/>
      <c r="I16" s="29"/>
    </row>
    <row r="17" spans="1:9" ht="12.75">
      <c r="A17" s="29"/>
      <c r="B17" s="29"/>
      <c r="C17" s="30"/>
      <c r="D17" s="29"/>
      <c r="E17" s="11"/>
      <c r="F17" s="29"/>
      <c r="G17" s="29"/>
      <c r="H17" s="29"/>
      <c r="I17" s="29"/>
    </row>
    <row r="18" spans="1:9" ht="12.75">
      <c r="A18" s="29"/>
      <c r="B18" s="29"/>
      <c r="C18" s="30"/>
      <c r="D18" s="29"/>
      <c r="E18" s="11"/>
      <c r="F18" s="29"/>
      <c r="G18" s="29"/>
      <c r="H18" s="29"/>
      <c r="I18" s="29"/>
    </row>
    <row r="19" spans="1:9" ht="12.75">
      <c r="A19" s="29"/>
      <c r="B19" s="29"/>
      <c r="C19" s="30"/>
      <c r="D19" s="29"/>
      <c r="E19" s="11"/>
      <c r="F19" s="29"/>
      <c r="G19" s="29"/>
      <c r="H19" s="29"/>
      <c r="I19" s="29"/>
    </row>
    <row r="20" spans="1:9" ht="12.75">
      <c r="A20" s="29"/>
      <c r="B20" s="29"/>
      <c r="C20" s="30"/>
      <c r="D20" s="29"/>
      <c r="F20" s="29"/>
      <c r="G20" s="29"/>
      <c r="H20" s="29"/>
      <c r="I20" s="29"/>
    </row>
    <row r="21" spans="1:5" ht="12.75">
      <c r="A21" s="9"/>
      <c r="B21" s="9"/>
      <c r="E21" s="31"/>
    </row>
    <row r="22" spans="1:7" ht="12.75">
      <c r="A22" s="9"/>
      <c r="B22" s="9"/>
      <c r="E22" s="31"/>
      <c r="G22" s="32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35"/>
  <sheetViews>
    <sheetView tabSelected="1" zoomScale="75" zoomScaleNormal="75" workbookViewId="0" topLeftCell="A7">
      <selection activeCell="B27" sqref="B27"/>
    </sheetView>
  </sheetViews>
  <sheetFormatPr defaultColWidth="9.140625" defaultRowHeight="12.75"/>
  <cols>
    <col min="1" max="1" width="6.8515625" style="1" customWidth="1"/>
    <col min="2" max="2" width="12.140625" style="50" customWidth="1"/>
    <col min="3" max="3" width="9.140625" style="1" customWidth="1"/>
    <col min="4" max="4" width="10.00390625" style="1" customWidth="1"/>
    <col min="5" max="5" width="9.140625" style="1" customWidth="1"/>
    <col min="6" max="6" width="8.8515625" style="2" customWidth="1"/>
    <col min="7" max="9" width="9.140625" style="2" customWidth="1"/>
    <col min="10" max="16" width="9.140625" style="1" customWidth="1"/>
    <col min="17" max="17" width="11.140625" style="1" customWidth="1"/>
    <col min="18" max="19" width="9.140625" style="1" customWidth="1"/>
    <col min="20" max="20" width="7.421875" style="1" customWidth="1"/>
    <col min="21" max="25" width="7.7109375" style="1" customWidth="1"/>
    <col min="26" max="26" width="9.140625" style="50" customWidth="1"/>
    <col min="27" max="27" width="9.140625" style="2" customWidth="1"/>
    <col min="28" max="16384" width="9.140625" style="1" customWidth="1"/>
  </cols>
  <sheetData>
    <row r="1" spans="1:27" ht="12.75">
      <c r="A1" s="3"/>
      <c r="B1" s="39"/>
      <c r="C1" s="3"/>
      <c r="D1" s="3"/>
      <c r="E1" s="3"/>
      <c r="F1" s="3"/>
      <c r="G1" s="3"/>
      <c r="H1" s="3"/>
      <c r="I1" s="3"/>
      <c r="Z1" s="1"/>
      <c r="AA1" s="1"/>
    </row>
    <row r="2" spans="1:27" ht="12.75">
      <c r="A2" s="3"/>
      <c r="B2" s="39"/>
      <c r="C2" s="3"/>
      <c r="D2" s="3"/>
      <c r="E2" s="3"/>
      <c r="F2" s="3"/>
      <c r="G2" s="3"/>
      <c r="H2" s="3"/>
      <c r="I2" s="3"/>
      <c r="Z2" s="1"/>
      <c r="AA2" s="1"/>
    </row>
    <row r="3" spans="1:27" ht="12.75">
      <c r="A3" s="3"/>
      <c r="B3" s="39"/>
      <c r="C3" s="3"/>
      <c r="D3" s="3"/>
      <c r="E3" s="3"/>
      <c r="F3" s="3"/>
      <c r="G3" s="3"/>
      <c r="H3" s="3"/>
      <c r="I3" s="3"/>
      <c r="Z3" s="1"/>
      <c r="AA3" s="1"/>
    </row>
    <row r="4" spans="1:27" ht="12.75">
      <c r="A4" s="3"/>
      <c r="B4" s="39"/>
      <c r="C4" s="3"/>
      <c r="D4" s="3"/>
      <c r="E4" s="3"/>
      <c r="F4" s="3"/>
      <c r="G4" s="3"/>
      <c r="H4" s="3"/>
      <c r="I4" s="3"/>
      <c r="Z4" s="1"/>
      <c r="AA4" s="1"/>
    </row>
    <row r="7" spans="1:19" s="40" customFormat="1" ht="12.75">
      <c r="A7" s="40" t="s">
        <v>17</v>
      </c>
      <c r="B7" s="41" t="s">
        <v>18</v>
      </c>
      <c r="C7" s="40" t="s">
        <v>19</v>
      </c>
      <c r="E7" s="40" t="s">
        <v>20</v>
      </c>
      <c r="F7" s="40" t="s">
        <v>12</v>
      </c>
      <c r="G7" s="42" t="s">
        <v>21</v>
      </c>
      <c r="H7" s="42"/>
      <c r="I7" s="42" t="s">
        <v>22</v>
      </c>
      <c r="J7" s="42"/>
      <c r="K7" s="42" t="s">
        <v>23</v>
      </c>
      <c r="L7" s="42"/>
      <c r="M7" s="42" t="s">
        <v>24</v>
      </c>
      <c r="N7" s="42"/>
      <c r="O7" s="42" t="s">
        <v>25</v>
      </c>
      <c r="P7" s="42"/>
      <c r="Q7" s="42" t="s">
        <v>20</v>
      </c>
      <c r="R7" s="40" t="s">
        <v>26</v>
      </c>
      <c r="S7" s="40" t="s">
        <v>27</v>
      </c>
    </row>
    <row r="8" spans="1:19" s="40" customFormat="1" ht="12.75">
      <c r="A8" s="40" t="s">
        <v>28</v>
      </c>
      <c r="B8" s="41" t="s">
        <v>15</v>
      </c>
      <c r="C8" s="41" t="s">
        <v>15</v>
      </c>
      <c r="D8" s="40" t="s">
        <v>29</v>
      </c>
      <c r="E8" s="43" t="s">
        <v>30</v>
      </c>
      <c r="F8" s="40" t="s">
        <v>15</v>
      </c>
      <c r="G8" s="44" t="s">
        <v>31</v>
      </c>
      <c r="H8" s="44" t="s">
        <v>32</v>
      </c>
      <c r="I8" s="44" t="s">
        <v>31</v>
      </c>
      <c r="J8" s="44" t="s">
        <v>32</v>
      </c>
      <c r="K8" s="44" t="s">
        <v>31</v>
      </c>
      <c r="L8" s="44" t="s">
        <v>32</v>
      </c>
      <c r="M8" s="44" t="s">
        <v>31</v>
      </c>
      <c r="N8" s="44" t="s">
        <v>32</v>
      </c>
      <c r="O8" s="44" t="s">
        <v>31</v>
      </c>
      <c r="P8" s="44" t="s">
        <v>32</v>
      </c>
      <c r="Q8" s="44" t="s">
        <v>33</v>
      </c>
      <c r="R8" s="43" t="s">
        <v>15</v>
      </c>
      <c r="S8" s="43" t="s">
        <v>15</v>
      </c>
    </row>
    <row r="9" spans="1:19" s="40" customFormat="1" ht="13.5" thickBot="1">
      <c r="A9" s="45"/>
      <c r="B9" s="46" t="s">
        <v>16</v>
      </c>
      <c r="C9" s="45" t="s">
        <v>34</v>
      </c>
      <c r="D9" s="45"/>
      <c r="E9" s="45" t="s">
        <v>34</v>
      </c>
      <c r="F9" s="45" t="s">
        <v>16</v>
      </c>
      <c r="G9" s="45" t="s">
        <v>34</v>
      </c>
      <c r="H9" s="45" t="s">
        <v>34</v>
      </c>
      <c r="I9" s="45" t="s">
        <v>34</v>
      </c>
      <c r="J9" s="45" t="s">
        <v>34</v>
      </c>
      <c r="K9" s="45" t="s">
        <v>34</v>
      </c>
      <c r="L9" s="45" t="s">
        <v>34</v>
      </c>
      <c r="M9" s="45" t="s">
        <v>34</v>
      </c>
      <c r="N9" s="45" t="s">
        <v>34</v>
      </c>
      <c r="O9" s="45" t="s">
        <v>34</v>
      </c>
      <c r="P9" s="45" t="s">
        <v>34</v>
      </c>
      <c r="Q9" s="45" t="s">
        <v>34</v>
      </c>
      <c r="R9" s="45" t="s">
        <v>34</v>
      </c>
      <c r="S9" s="45" t="s">
        <v>34</v>
      </c>
    </row>
    <row r="10" spans="2:17" s="47" customFormat="1" ht="12.75">
      <c r="B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9" s="47" customFormat="1" ht="12.75">
      <c r="A11" s="76" t="s">
        <v>35</v>
      </c>
      <c r="B11" s="77"/>
      <c r="C11" s="78">
        <f>Computations!F11</f>
        <v>0.375</v>
      </c>
      <c r="D11" s="76"/>
      <c r="E11" s="76"/>
      <c r="F11" s="76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6"/>
      <c r="S11" s="76"/>
    </row>
    <row r="12" spans="1:19" s="47" customFormat="1" ht="12.75">
      <c r="A12" s="76">
        <f>Computations!A12</f>
        <v>1</v>
      </c>
      <c r="B12" s="77">
        <f>IF(ISTEXT(C12),"",Computations!B12)</f>
        <v>10</v>
      </c>
      <c r="C12" s="78">
        <f>IF(Computations!F12="closed",Computations!F11+Computations!C12,Computations!F12)</f>
        <v>0.3819444444444444</v>
      </c>
      <c r="D12" s="76">
        <f>Computations!H12</f>
      </c>
      <c r="E12" s="78">
        <f>Computations!I12</f>
      </c>
      <c r="F12" s="76">
        <f>IF(ISTEXT(Computations!P12),"",Computations!D12)</f>
        <v>9</v>
      </c>
      <c r="G12" s="78">
        <f>IF(Computations!$P12=1,Computations!O12,"")</f>
        <v>0.3819444444444444</v>
      </c>
      <c r="H12" s="78">
        <f>IF(ISTEXT($G12),"",$G12+Computations!$E12)</f>
        <v>0.3881944444444444</v>
      </c>
      <c r="I12" s="78">
        <f>IF(Computations!$P12=2,Computations!O12,"")</f>
      </c>
      <c r="J12" s="78">
        <f>IF(ISTEXT($I12),"",$I12+Computations!$E12)</f>
      </c>
      <c r="K12" s="78">
        <f>IF(Computations!$P12=3,Computations!O12,"")</f>
      </c>
      <c r="L12" s="78">
        <f>IF(ISTEXT($K12),"",$K12+Computations!$E12)</f>
      </c>
      <c r="M12" s="78">
        <f>IF(Computations!$P12=4,Computations!O12,"")</f>
      </c>
      <c r="N12" s="78">
        <f>IF(ISTEXT($M12),"",$M12+Computations!$E12)</f>
      </c>
      <c r="O12" s="78">
        <f>IF(Computations!$P12=5,Computations!O12,"")</f>
      </c>
      <c r="P12" s="78">
        <f>IF(ISTEXT($O12),"",$O12+Computations!$E12)</f>
      </c>
      <c r="Q12" s="78">
        <f>IF(D12="renege",E12-C12,"")</f>
      </c>
      <c r="R12" s="78">
        <f>IF(D12="renege","",Computations!G12)</f>
        <v>0</v>
      </c>
      <c r="S12" s="78">
        <f>IF(ISTEXT(R12),"",$R12+Computations!$E12)</f>
        <v>0.00625</v>
      </c>
    </row>
    <row r="13" spans="1:19" s="47" customFormat="1" ht="12.75">
      <c r="A13" s="76">
        <f>Computations!A13</f>
        <v>2</v>
      </c>
      <c r="B13" s="77">
        <f>IF(ISTEXT(C13),"",Computations!B13)</f>
        <v>10</v>
      </c>
      <c r="C13" s="78">
        <f>IF(Computations!F13="closed",Computations!F12+Computations!C13,Computations!F13)</f>
        <v>0.38888888888888884</v>
      </c>
      <c r="D13" s="76">
        <f>Computations!H13</f>
      </c>
      <c r="E13" s="78">
        <f>Computations!I13</f>
      </c>
      <c r="F13" s="76">
        <f>IF(ISTEXT(Computations!P13),"",Computations!D13)</f>
        <v>6</v>
      </c>
      <c r="G13" s="78">
        <f>IF(Computations!$P13=1,Computations!O13,"")</f>
        <v>0.38888888888888884</v>
      </c>
      <c r="H13" s="78">
        <f>IF(ISTEXT($G13),"",$G13+Computations!$E13)</f>
        <v>0.3930555555555555</v>
      </c>
      <c r="I13" s="78">
        <f>IF(Computations!$P13=2,Computations!O13,"")</f>
      </c>
      <c r="J13" s="78">
        <f>IF(ISTEXT($I13),"",$I13+Computations!$E13)</f>
      </c>
      <c r="K13" s="78">
        <f>IF(Computations!$P13=3,Computations!O13,"")</f>
      </c>
      <c r="L13" s="78">
        <f>IF(ISTEXT($K13),"",$K13+Computations!$E13)</f>
      </c>
      <c r="M13" s="78">
        <f>IF(Computations!$P13=4,Computations!O13,"")</f>
      </c>
      <c r="N13" s="78">
        <f>IF(ISTEXT($M13),"",$M13+Computations!$E13)</f>
      </c>
      <c r="O13" s="78">
        <f>IF(Computations!$P13=5,Computations!O13,"")</f>
      </c>
      <c r="P13" s="78">
        <f>IF(ISTEXT($O13),"",$O13+Computations!$E13)</f>
      </c>
      <c r="Q13" s="78">
        <f aca="true" t="shared" si="0" ref="Q13:Q26">IF(D13="renege",E13-C13,"")</f>
      </c>
      <c r="R13" s="78">
        <f>IF(D13="renege","",Computations!G13)</f>
        <v>0</v>
      </c>
      <c r="S13" s="78">
        <f>IF(ISTEXT(R13),"",$R13+Computations!$E13)</f>
        <v>0.004166666666666667</v>
      </c>
    </row>
    <row r="14" spans="1:19" s="47" customFormat="1" ht="12.75">
      <c r="A14" s="76">
        <f>Computations!A14</f>
        <v>3</v>
      </c>
      <c r="B14" s="77">
        <f>IF(ISTEXT(C14),"",Computations!B14)</f>
        <v>10</v>
      </c>
      <c r="C14" s="78">
        <f>IF(Computations!F14="closed",Computations!F13+Computations!C14,Computations!F14)</f>
        <v>0.39583333333333326</v>
      </c>
      <c r="D14" s="76">
        <f>Computations!H14</f>
      </c>
      <c r="E14" s="78">
        <f>Computations!I14</f>
      </c>
      <c r="F14" s="76">
        <f>IF(ISTEXT(Computations!P14),"",Computations!D14)</f>
        <v>9</v>
      </c>
      <c r="G14" s="78">
        <f>IF(Computations!$P14=1,Computations!O14,"")</f>
        <v>0.39583333333333326</v>
      </c>
      <c r="H14" s="78">
        <f>IF(ISTEXT($G14),"",$G14+Computations!$E14)</f>
        <v>0.40208333333333324</v>
      </c>
      <c r="I14" s="78">
        <f>IF(Computations!$P14=2,Computations!O14,"")</f>
      </c>
      <c r="J14" s="78">
        <f>IF(ISTEXT($I14),"",$I14+Computations!$E14)</f>
      </c>
      <c r="K14" s="78">
        <f>IF(Computations!$P14=3,Computations!O14,"")</f>
      </c>
      <c r="L14" s="78">
        <f>IF(ISTEXT($K14),"",$K14+Computations!$E14)</f>
      </c>
      <c r="M14" s="78">
        <f>IF(Computations!$P14=4,Computations!O14,"")</f>
      </c>
      <c r="N14" s="78">
        <f>IF(ISTEXT($M14),"",$M14+Computations!$E14)</f>
      </c>
      <c r="O14" s="78">
        <f>IF(Computations!$P14=5,Computations!O14,"")</f>
      </c>
      <c r="P14" s="78">
        <f>IF(ISTEXT($O14),"",$O14+Computations!$E14)</f>
      </c>
      <c r="Q14" s="78">
        <f t="shared" si="0"/>
      </c>
      <c r="R14" s="78">
        <f>IF(D14="renege","",Computations!G14)</f>
        <v>0</v>
      </c>
      <c r="S14" s="78">
        <f>IF(ISTEXT(R14),"",$R14+Computations!$E14)</f>
        <v>0.00625</v>
      </c>
    </row>
    <row r="15" spans="1:19" s="47" customFormat="1" ht="12.75">
      <c r="A15" s="76">
        <f>Computations!A15</f>
        <v>4</v>
      </c>
      <c r="B15" s="77">
        <f>IF(ISTEXT(C15),"",Computations!B15)</f>
        <v>1</v>
      </c>
      <c r="C15" s="78">
        <f>IF(Computations!F15="closed",Computations!F14+Computations!C15,Computations!F15)</f>
        <v>0.3965277777777777</v>
      </c>
      <c r="D15" s="76">
        <f>Computations!H15</f>
      </c>
      <c r="E15" s="78">
        <f>Computations!I15</f>
      </c>
      <c r="F15" s="76">
        <f>IF(ISTEXT(Computations!P15),"",Computations!D15)</f>
        <v>6</v>
      </c>
      <c r="G15" s="78">
        <f>IF(Computations!$P15=1,Computations!O15,"")</f>
      </c>
      <c r="H15" s="78">
        <f>IF(ISTEXT($G15),"",$G15+Computations!$E15)</f>
      </c>
      <c r="I15" s="78">
        <f>IF(Computations!$P15=2,Computations!O15,"")</f>
        <v>0.3965277777777777</v>
      </c>
      <c r="J15" s="78">
        <f>IF(ISTEXT($I15),"",$I15+Computations!$E15)</f>
        <v>0.40069444444444435</v>
      </c>
      <c r="K15" s="78">
        <f>IF(Computations!$P15=3,Computations!O15,"")</f>
      </c>
      <c r="L15" s="78">
        <f>IF(ISTEXT($K15),"",$K15+Computations!$E15)</f>
      </c>
      <c r="M15" s="78">
        <f>IF(Computations!$P15=4,Computations!O15,"")</f>
      </c>
      <c r="N15" s="78">
        <f>IF(ISTEXT($M15),"",$M15+Computations!$E15)</f>
      </c>
      <c r="O15" s="78">
        <f>IF(Computations!$P15=5,Computations!O15,"")</f>
      </c>
      <c r="P15" s="78">
        <f>IF(ISTEXT($O15),"",$O15+Computations!$E15)</f>
      </c>
      <c r="Q15" s="78">
        <f t="shared" si="0"/>
      </c>
      <c r="R15" s="78">
        <f>IF(D15="renege","",Computations!G15)</f>
        <v>0</v>
      </c>
      <c r="S15" s="78">
        <f>IF(ISTEXT(R15),"",$R15+Computations!$E15)</f>
        <v>0.004166666666666667</v>
      </c>
    </row>
    <row r="16" spans="1:19" s="47" customFormat="1" ht="12.75">
      <c r="A16" s="76">
        <f>Computations!A16</f>
        <v>5</v>
      </c>
      <c r="B16" s="77">
        <f>IF(ISTEXT(C16),"",Computations!B16)</f>
        <v>1</v>
      </c>
      <c r="C16" s="78">
        <f>IF(Computations!F16="closed",Computations!F15+Computations!C16,Computations!F16)</f>
        <v>0.39722222222222214</v>
      </c>
      <c r="D16" s="76">
        <f>Computations!H16</f>
      </c>
      <c r="E16" s="78">
        <f>Computations!I16</f>
      </c>
      <c r="F16" s="76">
        <f>IF(ISTEXT(Computations!P16),"",Computations!D16)</f>
        <v>9</v>
      </c>
      <c r="G16" s="78">
        <f>IF(Computations!$P16=1,Computations!O16,"")</f>
      </c>
      <c r="H16" s="78">
        <f>IF(ISTEXT($G16),"",$G16+Computations!$E16)</f>
      </c>
      <c r="I16" s="78">
        <f>IF(Computations!$P16=2,Computations!O16,"")</f>
      </c>
      <c r="J16" s="78">
        <f>IF(ISTEXT($I16),"",$I16+Computations!$E16)</f>
      </c>
      <c r="K16" s="78">
        <f>IF(Computations!$P16=3,Computations!O16,"")</f>
        <v>0.39722222222222214</v>
      </c>
      <c r="L16" s="78">
        <f>IF(ISTEXT($K16),"",$K16+Computations!$E16)</f>
        <v>0.4034722222222221</v>
      </c>
      <c r="M16" s="78">
        <f>IF(Computations!$P16=4,Computations!O16,"")</f>
      </c>
      <c r="N16" s="78">
        <f>IF(ISTEXT($M16),"",$M16+Computations!$E16)</f>
      </c>
      <c r="O16" s="78">
        <f>IF(Computations!$P16=5,Computations!O16,"")</f>
      </c>
      <c r="P16" s="78">
        <f>IF(ISTEXT($O16),"",$O16+Computations!$E16)</f>
      </c>
      <c r="Q16" s="78">
        <f t="shared" si="0"/>
      </c>
      <c r="R16" s="78">
        <f>IF(D16="renege","",Computations!G16)</f>
        <v>0</v>
      </c>
      <c r="S16" s="78">
        <f>IF(ISTEXT(R16),"",$R16+Computations!$E16)</f>
        <v>0.00625</v>
      </c>
    </row>
    <row r="17" spans="1:19" s="47" customFormat="1" ht="12.75">
      <c r="A17" s="76">
        <f>Computations!A17</f>
        <v>6</v>
      </c>
      <c r="B17" s="77">
        <f>IF(ISTEXT(C17),"",Computations!B17)</f>
        <v>1</v>
      </c>
      <c r="C17" s="78">
        <f>IF(Computations!F17="closed",Computations!F16+Computations!C17,Computations!F17)</f>
        <v>0.3979166666666666</v>
      </c>
      <c r="D17" s="76">
        <f>Computations!H17</f>
      </c>
      <c r="E17" s="78">
        <f>Computations!I17</f>
      </c>
      <c r="F17" s="76">
        <f>IF(ISTEXT(Computations!P17),"",Computations!D17)</f>
        <v>9</v>
      </c>
      <c r="G17" s="78">
        <f>IF(Computations!$P17=1,Computations!O17,"")</f>
      </c>
      <c r="H17" s="78">
        <f>IF(ISTEXT($G17),"",$G17+Computations!$E17)</f>
      </c>
      <c r="I17" s="78">
        <f>IF(Computations!$P17=2,Computations!O17,"")</f>
      </c>
      <c r="J17" s="78">
        <f>IF(ISTEXT($I17),"",$I17+Computations!$E17)</f>
      </c>
      <c r="K17" s="78">
        <f>IF(Computations!$P17=3,Computations!O17,"")</f>
      </c>
      <c r="L17" s="78">
        <f>IF(ISTEXT($K17),"",$K17+Computations!$E17)</f>
      </c>
      <c r="M17" s="78">
        <f>IF(Computations!$P17=4,Computations!O17,"")</f>
        <v>0.3979166666666666</v>
      </c>
      <c r="N17" s="78">
        <f>IF(ISTEXT($M17),"",$M17+Computations!$E17)</f>
        <v>0.40416666666666656</v>
      </c>
      <c r="O17" s="78">
        <f>IF(Computations!$P17=5,Computations!O17,"")</f>
      </c>
      <c r="P17" s="78">
        <f>IF(ISTEXT($O17),"",$O17+Computations!$E17)</f>
      </c>
      <c r="Q17" s="78">
        <f t="shared" si="0"/>
      </c>
      <c r="R17" s="78">
        <f>IF(D17="renege","",Computations!G17)</f>
        <v>0</v>
      </c>
      <c r="S17" s="78">
        <f>IF(ISTEXT(R17),"",$R17+Computations!$E17)</f>
        <v>0.00625</v>
      </c>
    </row>
    <row r="18" spans="1:19" s="47" customFormat="1" ht="12.75">
      <c r="A18" s="76">
        <f>Computations!A18</f>
        <v>7</v>
      </c>
      <c r="B18" s="77">
        <f>IF(ISTEXT(C18),"",Computations!B18)</f>
        <v>1</v>
      </c>
      <c r="C18" s="78">
        <f>IF(Computations!F18="closed",Computations!F17+Computations!C18,Computations!F18)</f>
        <v>0.398611111111111</v>
      </c>
      <c r="D18" s="76">
        <f>Computations!H18</f>
      </c>
      <c r="E18" s="78">
        <f>Computations!I18</f>
      </c>
      <c r="F18" s="76">
        <f>IF(ISTEXT(Computations!P18),"",Computations!D18)</f>
        <v>9</v>
      </c>
      <c r="G18" s="78">
        <f>IF(Computations!$P18=1,Computations!O18,"")</f>
      </c>
      <c r="H18" s="78">
        <f>IF(ISTEXT($G18),"",$G18+Computations!$E18)</f>
      </c>
      <c r="I18" s="78">
        <f>IF(Computations!$P18=2,Computations!O18,"")</f>
      </c>
      <c r="J18" s="78">
        <f>IF(ISTEXT($I18),"",$I18+Computations!$E18)</f>
      </c>
      <c r="K18" s="78">
        <f>IF(Computations!$P18=3,Computations!O18,"")</f>
      </c>
      <c r="L18" s="78">
        <f>IF(ISTEXT($K18),"",$K18+Computations!$E18)</f>
      </c>
      <c r="M18" s="78">
        <f>IF(Computations!$P18=4,Computations!O18,"")</f>
      </c>
      <c r="N18" s="78">
        <f>IF(ISTEXT($M18),"",$M18+Computations!$E18)</f>
      </c>
      <c r="O18" s="78">
        <f>IF(Computations!$P18=5,Computations!O18,"")</f>
        <v>0.398611111111111</v>
      </c>
      <c r="P18" s="78">
        <f>IF(ISTEXT($O18),"",$O18+Computations!$E18)</f>
        <v>0.404861111111111</v>
      </c>
      <c r="Q18" s="78">
        <f t="shared" si="0"/>
      </c>
      <c r="R18" s="78">
        <f>IF(D18="renege","",Computations!G18)</f>
        <v>0</v>
      </c>
      <c r="S18" s="78">
        <f>IF(ISTEXT(R18),"",$R18+Computations!$E18)</f>
        <v>0.00625</v>
      </c>
    </row>
    <row r="19" spans="1:19" s="47" customFormat="1" ht="12.75">
      <c r="A19" s="76">
        <f>Computations!A19</f>
        <v>8</v>
      </c>
      <c r="B19" s="77">
        <f>IF(ISTEXT(C19),"",Computations!B19)</f>
        <v>1</v>
      </c>
      <c r="C19" s="78">
        <f>IF(Computations!F19="closed",Computations!F18+Computations!C19,Computations!F19)</f>
        <v>0.39930555555555547</v>
      </c>
      <c r="D19" s="76">
        <f>Computations!H19</f>
      </c>
      <c r="E19" s="78">
        <f>Computations!I19</f>
      </c>
      <c r="F19" s="76">
        <f>IF(ISTEXT(Computations!P19),"",Computations!D19)</f>
        <v>6</v>
      </c>
      <c r="G19" s="78">
        <f>IF(Computations!$P19=1,Computations!O19,"")</f>
      </c>
      <c r="H19" s="78">
        <f>IF(ISTEXT($G19),"",$G19+Computations!$E19)</f>
      </c>
      <c r="I19" s="78">
        <f>IF(Computations!$P19=2,Computations!O19,"")</f>
        <v>0.40069444444444435</v>
      </c>
      <c r="J19" s="78">
        <f>IF(ISTEXT($I19),"",$I19+Computations!$E19)</f>
        <v>0.404861111111111</v>
      </c>
      <c r="K19" s="78">
        <f>IF(Computations!$P19=3,Computations!O19,"")</f>
      </c>
      <c r="L19" s="78">
        <f>IF(ISTEXT($K19),"",$K19+Computations!$E19)</f>
      </c>
      <c r="M19" s="78">
        <f>IF(Computations!$P19=4,Computations!O19,"")</f>
      </c>
      <c r="N19" s="78">
        <f>IF(ISTEXT($M19),"",$M19+Computations!$E19)</f>
      </c>
      <c r="O19" s="78">
        <f>IF(Computations!$P19=5,Computations!O19,"")</f>
      </c>
      <c r="P19" s="78">
        <f>IF(ISTEXT($O19),"",$O19+Computations!$E19)</f>
      </c>
      <c r="Q19" s="78">
        <f t="shared" si="0"/>
      </c>
      <c r="R19" s="78">
        <f>IF(D19="renege","",Computations!G19)</f>
        <v>0.001388888888888884</v>
      </c>
      <c r="S19" s="78">
        <f>IF(ISTEXT(R19),"",$R19+Computations!$E19)</f>
        <v>0.0055555555555555506</v>
      </c>
    </row>
    <row r="20" spans="1:19" s="47" customFormat="1" ht="12.75">
      <c r="A20" s="76">
        <f>Computations!A20</f>
        <v>9</v>
      </c>
      <c r="B20" s="77">
        <f>IF(ISTEXT(C20),"",Computations!B20)</f>
        <v>1</v>
      </c>
      <c r="C20" s="78">
        <f>IF(Computations!F20="closed",Computations!F19+Computations!C20,Computations!F20)</f>
        <v>0.3999999999999999</v>
      </c>
      <c r="D20" s="76" t="str">
        <f>Computations!H20</f>
        <v>renege</v>
      </c>
      <c r="E20" s="78">
        <f>Computations!I20</f>
        <v>0.4013888888888888</v>
      </c>
      <c r="F20" s="76">
        <f>IF(ISTEXT(Computations!P20),"",Computations!D20)</f>
      </c>
      <c r="G20" s="78">
        <f>IF(Computations!$P20=1,Computations!O20,"")</f>
      </c>
      <c r="H20" s="78">
        <f>IF(ISTEXT($G20),"",$G20+Computations!$E20)</f>
      </c>
      <c r="I20" s="78">
        <f>IF(Computations!$P20=2,Computations!O20,"")</f>
      </c>
      <c r="J20" s="78">
        <f>IF(ISTEXT($I20),"",$I20+Computations!$E20)</f>
      </c>
      <c r="K20" s="78">
        <f>IF(Computations!$P20=3,Computations!O20,"")</f>
      </c>
      <c r="L20" s="78">
        <f>IF(ISTEXT($K20),"",$K20+Computations!$E20)</f>
      </c>
      <c r="M20" s="78">
        <f>IF(Computations!$P20=4,Computations!O20,"")</f>
      </c>
      <c r="N20" s="78">
        <f>IF(ISTEXT($M20),"",$M20+Computations!$E20)</f>
      </c>
      <c r="O20" s="78">
        <f>IF(Computations!$P20=5,Computations!O20,"")</f>
      </c>
      <c r="P20" s="78">
        <f>IF(ISTEXT($O20),"",$O20+Computations!$E20)</f>
      </c>
      <c r="Q20" s="78">
        <f t="shared" si="0"/>
        <v>0.001388888888888884</v>
      </c>
      <c r="R20" s="78">
        <f>IF(D20="renege","",Computations!G20)</f>
      </c>
      <c r="S20" s="78">
        <f>IF(ISTEXT(R20),"",$R20+Computations!$E20)</f>
      </c>
    </row>
    <row r="21" spans="1:19" s="47" customFormat="1" ht="12.75">
      <c r="A21" s="76">
        <f>Computations!A21</f>
        <v>10</v>
      </c>
      <c r="B21" s="77">
        <f>IF(ISTEXT(C21),"",Computations!B21)</f>
        <v>10</v>
      </c>
      <c r="C21" s="78">
        <f>IF(Computations!F21="closed",Computations!F20+Computations!C21,Computations!F21)</f>
        <v>0.40694444444444433</v>
      </c>
      <c r="D21" s="76">
        <f>Computations!H21</f>
      </c>
      <c r="E21" s="78">
        <f>Computations!I21</f>
      </c>
      <c r="F21" s="76">
        <f>IF(ISTEXT(Computations!P21),"",Computations!D21)</f>
        <v>6</v>
      </c>
      <c r="G21" s="78">
        <f>IF(Computations!$P21=1,Computations!O21,"")</f>
        <v>0.40694444444444433</v>
      </c>
      <c r="H21" s="78">
        <f>IF(ISTEXT($G21),"",$G21+Computations!$E21)</f>
        <v>0.411111111111111</v>
      </c>
      <c r="I21" s="78">
        <f>IF(Computations!$P21=2,Computations!O21,"")</f>
      </c>
      <c r="J21" s="78">
        <f>IF(ISTEXT($I21),"",$I21+Computations!$E21)</f>
      </c>
      <c r="K21" s="78">
        <f>IF(Computations!$P21=3,Computations!O21,"")</f>
      </c>
      <c r="L21" s="78">
        <f>IF(ISTEXT($K21),"",$K21+Computations!$E21)</f>
      </c>
      <c r="M21" s="78">
        <f>IF(Computations!$P21=4,Computations!O21,"")</f>
      </c>
      <c r="N21" s="78">
        <f>IF(ISTEXT($M21),"",$M21+Computations!$E21)</f>
      </c>
      <c r="O21" s="78">
        <f>IF(Computations!$P21=5,Computations!O21,"")</f>
      </c>
      <c r="P21" s="78">
        <f>IF(ISTEXT($O21),"",$O21+Computations!$E21)</f>
      </c>
      <c r="Q21" s="78">
        <f t="shared" si="0"/>
      </c>
      <c r="R21" s="78">
        <f>IF(D21="renege","",Computations!G21)</f>
        <v>0</v>
      </c>
      <c r="S21" s="78">
        <f>IF(ISTEXT(R21),"",$R21+Computations!$E21)</f>
        <v>0.004166666666666667</v>
      </c>
    </row>
    <row r="22" spans="1:19" s="47" customFormat="1" ht="12.75">
      <c r="A22" s="76">
        <f>Computations!A22</f>
        <v>11</v>
      </c>
      <c r="B22" s="77">
        <f>IF(ISTEXT(C22),"",Computations!B22)</f>
        <v>10</v>
      </c>
      <c r="C22" s="78">
        <f>IF(Computations!F22="closed",Computations!F21+Computations!C22,Computations!F22)</f>
        <v>0.41388888888888875</v>
      </c>
      <c r="D22" s="76">
        <f>Computations!H22</f>
      </c>
      <c r="E22" s="78">
        <f>Computations!I22</f>
      </c>
      <c r="F22" s="76">
        <f>IF(ISTEXT(Computations!P22),"",Computations!D22)</f>
        <v>3</v>
      </c>
      <c r="G22" s="78">
        <f>IF(Computations!$P22=1,Computations!O22,"")</f>
        <v>0.41388888888888875</v>
      </c>
      <c r="H22" s="78">
        <f>IF(ISTEXT($G22),"",$G22+Computations!$E22)</f>
        <v>0.4159722222222221</v>
      </c>
      <c r="I22" s="78">
        <f>IF(Computations!$P22=2,Computations!O22,"")</f>
      </c>
      <c r="J22" s="78">
        <f>IF(ISTEXT($I22),"",$I22+Computations!$E22)</f>
      </c>
      <c r="K22" s="78">
        <f>IF(Computations!$P22=3,Computations!O22,"")</f>
      </c>
      <c r="L22" s="78">
        <f>IF(ISTEXT($K22),"",$K22+Computations!$E22)</f>
      </c>
      <c r="M22" s="78">
        <f>IF(Computations!$P22=4,Computations!O22,"")</f>
      </c>
      <c r="N22" s="78">
        <f>IF(ISTEXT($M22),"",$M22+Computations!$E22)</f>
      </c>
      <c r="O22" s="78">
        <f>IF(Computations!$P22=5,Computations!O22,"")</f>
      </c>
      <c r="P22" s="78">
        <f>IF(ISTEXT($O22),"",$O22+Computations!$E22)</f>
      </c>
      <c r="Q22" s="78">
        <f t="shared" si="0"/>
      </c>
      <c r="R22" s="78">
        <f>IF(D22="renege","",Computations!G22)</f>
        <v>0</v>
      </c>
      <c r="S22" s="78">
        <f>IF(ISTEXT(R22),"",$R22+Computations!$E22)</f>
        <v>0.0020833333333333333</v>
      </c>
    </row>
    <row r="23" spans="1:29" ht="12.75">
      <c r="A23" s="76">
        <f>Computations!A23</f>
        <v>12</v>
      </c>
      <c r="B23" s="77">
        <f>IF(ISTEXT(C23),"",Computations!B23)</f>
        <v>3</v>
      </c>
      <c r="C23" s="78">
        <f>IF(Computations!F23="closed",Computations!F22+Computations!C23,Computations!F23)</f>
        <v>0.4159722222222221</v>
      </c>
      <c r="D23" s="76">
        <f>Computations!H23</f>
      </c>
      <c r="E23" s="78">
        <f>Computations!I23</f>
      </c>
      <c r="F23" s="76">
        <f>IF(ISTEXT(Computations!P23),"",Computations!D23)</f>
        <v>6</v>
      </c>
      <c r="G23" s="78">
        <f>IF(Computations!$P23=1,Computations!O23,"")</f>
        <v>0.4159722222222221</v>
      </c>
      <c r="H23" s="78">
        <f>IF(ISTEXT($G23),"",$G23+Computations!$E23)</f>
        <v>0.42013888888888873</v>
      </c>
      <c r="I23" s="78">
        <f>IF(Computations!$P23=2,Computations!O23,"")</f>
      </c>
      <c r="J23" s="78">
        <f>IF(ISTEXT($I23),"",$I23+Computations!$E23)</f>
      </c>
      <c r="K23" s="78">
        <f>IF(Computations!$P23=3,Computations!O23,"")</f>
      </c>
      <c r="L23" s="78">
        <f>IF(ISTEXT($K23),"",$K23+Computations!$E23)</f>
      </c>
      <c r="M23" s="78">
        <f>IF(Computations!$P23=4,Computations!O23,"")</f>
      </c>
      <c r="N23" s="78">
        <f>IF(ISTEXT($M23),"",$M23+Computations!$E23)</f>
      </c>
      <c r="O23" s="78">
        <f>IF(Computations!$P23=5,Computations!O23,"")</f>
      </c>
      <c r="P23" s="78">
        <f>IF(ISTEXT($O23),"",$O23+Computations!$E23)</f>
      </c>
      <c r="Q23" s="78">
        <f t="shared" si="0"/>
      </c>
      <c r="R23" s="78">
        <f>IF(D23="renege","",Computations!G23)</f>
        <v>0</v>
      </c>
      <c r="S23" s="78">
        <f>IF(ISTEXT(R23),"",$R23+Computations!$E23)</f>
        <v>0.004166666666666667</v>
      </c>
      <c r="AC23" s="47"/>
    </row>
    <row r="24" spans="1:19" ht="12.75">
      <c r="A24" s="76" t="str">
        <f>Computations!A24</f>
        <v>closed</v>
      </c>
      <c r="B24" s="77">
        <f>IF(ISTEXT(C24),"",Computations!B24)</f>
        <v>3</v>
      </c>
      <c r="C24" s="78">
        <f>IF(Computations!F24="closed",Computations!F23+Computations!C24,Computations!F24)</f>
        <v>0.4180555555555554</v>
      </c>
      <c r="D24" s="76">
        <f>Computations!H24</f>
      </c>
      <c r="E24" s="78">
        <f>Computations!I24</f>
      </c>
      <c r="F24" s="76">
        <f>IF(ISTEXT(Computations!P24),"",Computations!D24)</f>
      </c>
      <c r="G24" s="78">
        <f>IF(Computations!$P24=1,Computations!O24,"")</f>
      </c>
      <c r="H24" s="78">
        <f>IF(ISTEXT($G24),"",$G24+Computations!$E24)</f>
      </c>
      <c r="I24" s="78">
        <f>IF(Computations!$P24=2,Computations!O24,"")</f>
      </c>
      <c r="J24" s="78">
        <f>IF(ISTEXT($I24),"",$I24+Computations!$E24)</f>
      </c>
      <c r="K24" s="78">
        <f>IF(Computations!$P24=3,Computations!O24,"")</f>
      </c>
      <c r="L24" s="78">
        <f>IF(ISTEXT($K24),"",$K24+Computations!$E24)</f>
      </c>
      <c r="M24" s="78">
        <f>IF(Computations!$P24=4,Computations!O24,"")</f>
      </c>
      <c r="N24" s="78">
        <f>IF(ISTEXT($M24),"",$M24+Computations!$E24)</f>
      </c>
      <c r="O24" s="78">
        <f>IF(Computations!$P24=5,Computations!O24,"")</f>
      </c>
      <c r="P24" s="78">
        <f>IF(ISTEXT($O24),"",$O24+Computations!$E24)</f>
      </c>
      <c r="Q24" s="78">
        <f t="shared" si="0"/>
      </c>
      <c r="R24" s="78">
        <f>IF(D24="renege","",Computations!G24)</f>
      </c>
      <c r="S24" s="78">
        <f>IF(ISTEXT(R24),"",$R24+Computations!$E24)</f>
      </c>
    </row>
    <row r="25" spans="1:19" ht="12.75">
      <c r="A25" s="76" t="str">
        <f>Computations!A25</f>
        <v>closed</v>
      </c>
      <c r="B25" s="77">
        <f>IF(ISTEXT(C25),"",Computations!B25)</f>
      </c>
      <c r="C25" s="78">
        <f>IF(Computations!F25="closed",Computations!F24+Computations!C25,Computations!F25)</f>
      </c>
      <c r="D25" s="76">
        <f>Computations!H25</f>
      </c>
      <c r="E25" s="78">
        <f>Computations!I25</f>
      </c>
      <c r="F25" s="76">
        <f>IF(ISTEXT(Computations!P25),"",Computations!D25)</f>
      </c>
      <c r="G25" s="78">
        <f>IF(Computations!$P25=1,Computations!O25,"")</f>
      </c>
      <c r="H25" s="78">
        <f>IF(ISTEXT($G25),"",$G25+Computations!$E25)</f>
      </c>
      <c r="I25" s="78">
        <f>IF(Computations!$P25=2,Computations!O25,"")</f>
      </c>
      <c r="J25" s="78">
        <f>IF(ISTEXT($I25),"",$I25+Computations!$E25)</f>
      </c>
      <c r="K25" s="78">
        <f>IF(Computations!$P25=3,Computations!O25,"")</f>
      </c>
      <c r="L25" s="78">
        <f>IF(ISTEXT($K25),"",$K25+Computations!$E25)</f>
      </c>
      <c r="M25" s="78">
        <f>IF(Computations!$P25=4,Computations!O25,"")</f>
      </c>
      <c r="N25" s="78">
        <f>IF(ISTEXT($M25),"",$M25+Computations!$E25)</f>
      </c>
      <c r="O25" s="78">
        <f>IF(Computations!$P25=5,Computations!O25,"")</f>
      </c>
      <c r="P25" s="78">
        <f>IF(ISTEXT($O25),"",$O25+Computations!$E25)</f>
      </c>
      <c r="Q25" s="78">
        <f t="shared" si="0"/>
      </c>
      <c r="R25" s="78">
        <f>IF(D25="renege","",Computations!G25)</f>
      </c>
      <c r="S25" s="78">
        <f>IF(ISTEXT(R25),"",$R25+Computations!$E25)</f>
      </c>
    </row>
    <row r="26" spans="1:19" ht="12.75">
      <c r="A26" s="76" t="str">
        <f>Computations!A26</f>
        <v>closed</v>
      </c>
      <c r="B26" s="77">
        <f>IF(ISTEXT(C26),"",Computations!B26)</f>
      </c>
      <c r="C26" s="78">
        <f>IF(Computations!F26="closed",Computations!F25+Computations!C26,Computations!F26)</f>
      </c>
      <c r="D26" s="76">
        <f>Computations!H26</f>
      </c>
      <c r="E26" s="78">
        <f>Computations!I26</f>
      </c>
      <c r="F26" s="76">
        <f>IF(ISTEXT(Computations!P26),"",Computations!D26)</f>
      </c>
      <c r="G26" s="78">
        <f>IF(Computations!$P26=1,Computations!O26,"")</f>
      </c>
      <c r="H26" s="78">
        <f>IF(ISTEXT($G26),"",$G26+Computations!$E26)</f>
      </c>
      <c r="I26" s="78">
        <f>IF(Computations!$P26=2,Computations!O26,"")</f>
      </c>
      <c r="J26" s="78">
        <f>IF(ISTEXT($I26),"",$I26+Computations!$E26)</f>
      </c>
      <c r="K26" s="78">
        <f>IF(Computations!$P26=3,Computations!O26,"")</f>
      </c>
      <c r="L26" s="78">
        <f>IF(ISTEXT($K26),"",$K26+Computations!$E26)</f>
      </c>
      <c r="M26" s="78">
        <f>IF(Computations!$P26=4,Computations!O26,"")</f>
      </c>
      <c r="N26" s="78">
        <f>IF(ISTEXT($M26),"",$M26+Computations!$E26)</f>
      </c>
      <c r="O26" s="78">
        <f>IF(Computations!$P26=5,Computations!O26,"")</f>
      </c>
      <c r="P26" s="78">
        <f>IF(ISTEXT($O26),"",$O26+Computations!$E26)</f>
      </c>
      <c r="Q26" s="78">
        <f t="shared" si="0"/>
      </c>
      <c r="R26" s="78">
        <f>IF(D26="renege","",Computations!G26)</f>
      </c>
      <c r="S26" s="78">
        <f>IF(ISTEXT(R26),"",$R26+Computations!$E26)</f>
      </c>
    </row>
    <row r="27" spans="4:5" ht="12.75">
      <c r="D27" s="47"/>
      <c r="E27" s="47"/>
    </row>
    <row r="28" spans="10:25" ht="12.75">
      <c r="J28" s="2"/>
      <c r="K28" s="2"/>
      <c r="L28" s="2"/>
      <c r="M28" s="2"/>
      <c r="N28" s="2"/>
      <c r="O28" s="2"/>
      <c r="P28" s="2"/>
      <c r="Q28" s="2"/>
      <c r="Y28" s="2"/>
    </row>
    <row r="29" ht="12.75">
      <c r="AA29" s="50"/>
    </row>
    <row r="31" ht="12.75">
      <c r="Y31" s="2"/>
    </row>
    <row r="32" ht="12.75">
      <c r="Y32" s="2"/>
    </row>
    <row r="33" ht="12.75">
      <c r="Y33" s="2"/>
    </row>
    <row r="34" ht="12.75">
      <c r="Y34" s="2"/>
    </row>
    <row r="35" ht="12.75">
      <c r="Y35" s="2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8515625" style="1" customWidth="1"/>
    <col min="2" max="2" width="12.140625" style="59" customWidth="1"/>
    <col min="3" max="3" width="12.140625" style="51" customWidth="1"/>
    <col min="4" max="4" width="11.421875" style="63" customWidth="1"/>
    <col min="5" max="5" width="10.7109375" style="51" customWidth="1"/>
    <col min="6" max="6" width="9.140625" style="51" customWidth="1"/>
    <col min="7" max="7" width="10.57421875" style="52" customWidth="1"/>
    <col min="8" max="8" width="10.00390625" style="52" customWidth="1"/>
    <col min="9" max="9" width="9.140625" style="53" customWidth="1"/>
    <col min="10" max="14" width="10.57421875" style="52" customWidth="1"/>
    <col min="15" max="15" width="11.7109375" style="53" customWidth="1"/>
    <col min="16" max="16" width="8.00390625" style="52" customWidth="1"/>
    <col min="19" max="16384" width="9.140625" style="51" customWidth="1"/>
  </cols>
  <sheetData>
    <row r="1" spans="1:5" ht="12.75">
      <c r="A1" s="3"/>
      <c r="B1" s="67"/>
      <c r="D1" s="69"/>
      <c r="E1" s="52" t="s">
        <v>36</v>
      </c>
    </row>
    <row r="2" spans="1:5" ht="12.75">
      <c r="A2" s="3"/>
      <c r="B2" s="67"/>
      <c r="D2" s="69"/>
      <c r="E2" s="79">
        <f>Data!E4/1440</f>
        <v>0.001388888888888889</v>
      </c>
    </row>
    <row r="3" spans="1:5" ht="12.75">
      <c r="A3" s="3"/>
      <c r="B3" s="67"/>
      <c r="D3" s="69"/>
      <c r="E3" s="53"/>
    </row>
    <row r="4" spans="1:5" ht="12.75">
      <c r="A4" s="3"/>
      <c r="B4" s="67"/>
      <c r="D4" s="69"/>
      <c r="E4" s="53"/>
    </row>
    <row r="5" spans="2:5" ht="12.75">
      <c r="B5" s="68"/>
      <c r="D5" s="69"/>
      <c r="E5" s="53"/>
    </row>
    <row r="6" spans="1:16" s="54" customFormat="1" ht="12.75">
      <c r="A6" s="4"/>
      <c r="B6" s="60" t="s">
        <v>18</v>
      </c>
      <c r="D6" s="64" t="s">
        <v>12</v>
      </c>
      <c r="G6" s="55" t="s">
        <v>37</v>
      </c>
      <c r="H6" s="55"/>
      <c r="I6" s="56"/>
      <c r="J6" s="55" t="s">
        <v>37</v>
      </c>
      <c r="K6" s="55" t="s">
        <v>37</v>
      </c>
      <c r="L6" s="55" t="s">
        <v>37</v>
      </c>
      <c r="M6" s="55" t="s">
        <v>37</v>
      </c>
      <c r="N6" s="55" t="s">
        <v>37</v>
      </c>
      <c r="O6" s="56"/>
      <c r="P6" s="55"/>
    </row>
    <row r="7" spans="1:18" s="54" customFormat="1" ht="12.75">
      <c r="A7" s="40" t="s">
        <v>17</v>
      </c>
      <c r="B7" s="60" t="s">
        <v>15</v>
      </c>
      <c r="C7" s="55" t="s">
        <v>18</v>
      </c>
      <c r="D7" s="64" t="s">
        <v>15</v>
      </c>
      <c r="E7" s="55" t="s">
        <v>38</v>
      </c>
      <c r="F7" s="55" t="s">
        <v>19</v>
      </c>
      <c r="G7" s="55" t="s">
        <v>26</v>
      </c>
      <c r="H7" s="55"/>
      <c r="I7" s="56" t="s">
        <v>20</v>
      </c>
      <c r="J7" s="55" t="s">
        <v>39</v>
      </c>
      <c r="K7" s="55" t="s">
        <v>40</v>
      </c>
      <c r="L7" s="55" t="s">
        <v>41</v>
      </c>
      <c r="M7" s="55" t="s">
        <v>42</v>
      </c>
      <c r="N7" s="55" t="s">
        <v>43</v>
      </c>
      <c r="O7" s="56" t="s">
        <v>44</v>
      </c>
      <c r="P7" s="55" t="s">
        <v>45</v>
      </c>
      <c r="Q7" s="55" t="s">
        <v>12</v>
      </c>
      <c r="R7" s="54" t="s">
        <v>100</v>
      </c>
    </row>
    <row r="8" spans="1:18" s="54" customFormat="1" ht="12.75">
      <c r="A8" s="40" t="s">
        <v>28</v>
      </c>
      <c r="B8" s="60" t="s">
        <v>46</v>
      </c>
      <c r="C8" s="55" t="s">
        <v>15</v>
      </c>
      <c r="D8" s="64" t="s">
        <v>46</v>
      </c>
      <c r="E8" s="55" t="s">
        <v>15</v>
      </c>
      <c r="F8" s="55" t="s">
        <v>15</v>
      </c>
      <c r="G8" s="55" t="s">
        <v>15</v>
      </c>
      <c r="H8" s="55" t="s">
        <v>29</v>
      </c>
      <c r="I8" s="56" t="s">
        <v>30</v>
      </c>
      <c r="J8" s="55" t="s">
        <v>15</v>
      </c>
      <c r="K8" s="55" t="s">
        <v>15</v>
      </c>
      <c r="L8" s="55" t="s">
        <v>15</v>
      </c>
      <c r="M8" s="55" t="s">
        <v>15</v>
      </c>
      <c r="N8" s="55" t="s">
        <v>15</v>
      </c>
      <c r="O8" s="56" t="s">
        <v>1</v>
      </c>
      <c r="P8" s="55" t="s">
        <v>47</v>
      </c>
      <c r="Q8" s="55" t="s">
        <v>15</v>
      </c>
      <c r="R8" s="54" t="s">
        <v>33</v>
      </c>
    </row>
    <row r="9" spans="1:20" s="54" customFormat="1" ht="13.5" thickBot="1">
      <c r="A9" s="45"/>
      <c r="B9" s="61" t="s">
        <v>16</v>
      </c>
      <c r="C9" s="57" t="s">
        <v>48</v>
      </c>
      <c r="D9" s="65" t="s">
        <v>16</v>
      </c>
      <c r="E9" s="66" t="s">
        <v>48</v>
      </c>
      <c r="F9" s="57" t="s">
        <v>34</v>
      </c>
      <c r="G9" s="57" t="s">
        <v>34</v>
      </c>
      <c r="H9" s="57"/>
      <c r="I9" s="70" t="s">
        <v>34</v>
      </c>
      <c r="J9" s="57" t="s">
        <v>34</v>
      </c>
      <c r="K9" s="57" t="s">
        <v>34</v>
      </c>
      <c r="L9" s="57" t="s">
        <v>34</v>
      </c>
      <c r="M9" s="57" t="s">
        <v>34</v>
      </c>
      <c r="N9" s="57" t="s">
        <v>34</v>
      </c>
      <c r="O9" s="57" t="s">
        <v>34</v>
      </c>
      <c r="P9" s="57"/>
      <c r="Q9" s="55" t="s">
        <v>99</v>
      </c>
      <c r="T9" s="85" t="s">
        <v>101</v>
      </c>
    </row>
    <row r="10" spans="1:17" ht="12.75">
      <c r="A10" s="47"/>
      <c r="C10" s="52"/>
      <c r="D10" s="62"/>
      <c r="E10" s="52"/>
      <c r="F10" s="52"/>
      <c r="Q10" s="82"/>
    </row>
    <row r="11" spans="1:24" ht="12.75">
      <c r="A11" s="76" t="s">
        <v>35</v>
      </c>
      <c r="C11" s="52"/>
      <c r="D11" s="62"/>
      <c r="E11" s="52"/>
      <c r="F11" s="79">
        <f>start_time</f>
        <v>0.375</v>
      </c>
      <c r="J11" s="53"/>
      <c r="K11" s="53"/>
      <c r="L11" s="53"/>
      <c r="M11" s="53"/>
      <c r="N11" s="53"/>
      <c r="Q11" s="82"/>
      <c r="T11" s="51" t="s">
        <v>102</v>
      </c>
      <c r="U11" s="51" t="s">
        <v>103</v>
      </c>
      <c r="V11" s="51" t="s">
        <v>104</v>
      </c>
      <c r="W11" s="51" t="s">
        <v>105</v>
      </c>
      <c r="X11" s="51" t="s">
        <v>106</v>
      </c>
    </row>
    <row r="12" spans="1:24" ht="12.75">
      <c r="A12" s="76">
        <f>IF(ISTEXT(F12),"closed",1)</f>
        <v>1</v>
      </c>
      <c r="B12" s="62">
        <f ca="1">VLOOKUP(RAND(),arrival,3)</f>
        <v>10</v>
      </c>
      <c r="C12" s="79">
        <f>B12/1440</f>
        <v>0.006944444444444444</v>
      </c>
      <c r="D12" s="62">
        <f ca="1">VLOOKUP(RAND(),service,3)</f>
        <v>9</v>
      </c>
      <c r="E12" s="79">
        <f>D12/1440</f>
        <v>0.00625</v>
      </c>
      <c r="F12" s="79">
        <f>IF(ISTEXT(F11),"",IF(F11+C12&gt;=close_time,"closed",F11+C12))</f>
        <v>0.3819444444444444</v>
      </c>
      <c r="G12" s="79">
        <f>IF(ISTEXT(F12),"",O12-F12)</f>
        <v>0</v>
      </c>
      <c r="H12" s="80">
        <f>IF(ISTEXT(G12),"",IF(G12&gt;renege_time,"renege",""))</f>
      </c>
      <c r="I12" s="79">
        <f aca="true" t="shared" si="0" ref="I12:I26">IF(H12="renege",F12+renege_time,"")</f>
      </c>
      <c r="J12" s="79">
        <f>IF(ISTEXT($F12),"",MAX(Simulation!H$11:H11,start_time,$F12))</f>
        <v>0.3819444444444444</v>
      </c>
      <c r="K12" s="79">
        <f>IF(ISTEXT($F12),"",MAX(Simulation!J$11:J11,start_time,$F12))</f>
        <v>0.3819444444444444</v>
      </c>
      <c r="L12" s="79">
        <f>IF(ISTEXT($F12),"",MAX(Simulation!L$11:L11,start_time,$F12))</f>
        <v>0.3819444444444444</v>
      </c>
      <c r="M12" s="79">
        <f>IF(ISTEXT($F12),"",MAX(Simulation!N$11:N11,start_time,$F12))</f>
        <v>0.3819444444444444</v>
      </c>
      <c r="N12" s="79">
        <f>IF(ISTEXT($F12),"",MAX(Simulation!P$11:P11,start_time,$F12))</f>
        <v>0.3819444444444444</v>
      </c>
      <c r="O12" s="79">
        <f>IF(ISTEXT(F12),"",MIN(J12:N12))</f>
        <v>0.3819444444444444</v>
      </c>
      <c r="P12" s="80">
        <f>IF(OR(ISTEXT(F12),H12="renege"),"",MATCH(O12,J12:N12,0))</f>
        <v>1</v>
      </c>
      <c r="Q12" s="83">
        <f>IF(H12="renege","",E12)</f>
        <v>0.00625</v>
      </c>
      <c r="R12" s="84">
        <f>IF(Simulation!R12="",Simulation!Q12,Simulation!R12)</f>
        <v>0</v>
      </c>
      <c r="T12" s="86">
        <f>IF(ISNUMBER(SMALL(Simulation!$G$12:Simulation!$H$26,1)),SMALL(Simulation!$G$12:Simulation!$H$26,1),1)</f>
        <v>0.3819444444444444</v>
      </c>
      <c r="U12" s="86">
        <f>IF(ISNUMBER(SMALL(Simulation!$I$12:Simulation!$J$26,1)),SMALL(Simulation!$I$12:Simulation!$J$26,1),1)</f>
        <v>0.3965277777777777</v>
      </c>
      <c r="V12" s="86">
        <f>IF(ISNUMBER(SMALL(Simulation!$K$12:Simulation!$L$26,1)),SMALL(Simulation!$K$12:Simulation!$L$26,1),1)</f>
        <v>0.39722222222222214</v>
      </c>
      <c r="W12" s="86">
        <f>IF(ISNUMBER(SMALL(Simulation!$M$12:Simulation!$N$26,1)),SMALL(Simulation!$M$12:Simulation!$N$26,1),1)</f>
        <v>0.3979166666666666</v>
      </c>
      <c r="X12" s="86">
        <f>IF(ISNUMBER(SMALL(Simulation!$O$12:Simulation!$P$26,1)),SMALL(Simulation!$O$12:Simulation!$P$26,1),1)</f>
        <v>0.398611111111111</v>
      </c>
    </row>
    <row r="13" spans="1:24" ht="12.75">
      <c r="A13" s="76">
        <f>IF(ISTEXT(F13),"closed",A12+1)</f>
        <v>2</v>
      </c>
      <c r="B13" s="62">
        <f aca="true" ca="1" t="shared" si="1" ref="B13:B26">VLOOKUP(RAND(),arrival,3)</f>
        <v>10</v>
      </c>
      <c r="C13" s="79">
        <f aca="true" t="shared" si="2" ref="C13:C26">B13/1440</f>
        <v>0.006944444444444444</v>
      </c>
      <c r="D13" s="62">
        <f aca="true" ca="1" t="shared" si="3" ref="D13:D26">VLOOKUP(RAND(),service,3)</f>
        <v>6</v>
      </c>
      <c r="E13" s="79">
        <f aca="true" t="shared" si="4" ref="E13:E26">D13/1440</f>
        <v>0.004166666666666667</v>
      </c>
      <c r="F13" s="79">
        <f aca="true" t="shared" si="5" ref="F13:F26">IF(ISTEXT(F12),"",IF(F12+C13&gt;=close_time,"closed",F12+C13))</f>
        <v>0.38888888888888884</v>
      </c>
      <c r="G13" s="79">
        <f aca="true" t="shared" si="6" ref="G13:G26">IF(ISTEXT(F13),"",O13-F13)</f>
        <v>0</v>
      </c>
      <c r="H13" s="80">
        <f aca="true" t="shared" si="7" ref="H13:H26">IF(ISTEXT(G13),"",IF(G13&gt;renege_time,"renege",""))</f>
      </c>
      <c r="I13" s="79">
        <f t="shared" si="0"/>
      </c>
      <c r="J13" s="79">
        <f>IF(ISTEXT($F13),"",MAX(Simulation!H$11:H12,start_time,$F13))</f>
        <v>0.38888888888888884</v>
      </c>
      <c r="K13" s="79">
        <f>IF(ISTEXT($F13),"",MAX(Simulation!J$11:J12,start_time,$F13))</f>
        <v>0.38888888888888884</v>
      </c>
      <c r="L13" s="79">
        <f>IF(ISTEXT($F13),"",MAX(Simulation!L$11:L12,start_time,$F13))</f>
        <v>0.38888888888888884</v>
      </c>
      <c r="M13" s="79">
        <f>IF(ISTEXT($F13),"",MAX(Simulation!N$11:N12,start_time,$F13))</f>
        <v>0.38888888888888884</v>
      </c>
      <c r="N13" s="79">
        <f>IF(ISTEXT($F13),"",MAX(Simulation!P$11:P12,start_time,$F13))</f>
        <v>0.38888888888888884</v>
      </c>
      <c r="O13" s="79">
        <f aca="true" t="shared" si="8" ref="O13:O26">IF(ISTEXT(F13),"",MIN(J13:N13))</f>
        <v>0.38888888888888884</v>
      </c>
      <c r="P13" s="80">
        <f aca="true" t="shared" si="9" ref="P13:P26">IF(OR(ISTEXT(F13),H13="renege"),"",MATCH(O13,J13:N13,0))</f>
        <v>1</v>
      </c>
      <c r="Q13" s="83">
        <f>IF(H13="renege","",E13)</f>
        <v>0.004166666666666667</v>
      </c>
      <c r="R13" s="84">
        <f>IF(Simulation!R13="",Simulation!Q13,Simulation!R13)</f>
        <v>0</v>
      </c>
      <c r="T13" s="86">
        <f>IF(ISNUMBER(SMALL(Simulation!$G$12:Simulation!$H$26,2)),SMALL(Simulation!$G$12:Simulation!$H$26,2),1)</f>
        <v>0.3881944444444444</v>
      </c>
      <c r="U13" s="86">
        <f>IF(ISNUMBER(SMALL(Simulation!$I$12:Simulation!$J$26,2)),SMALL(Simulation!$I$12:Simulation!$J$26,2),1)</f>
        <v>0.40069444444444435</v>
      </c>
      <c r="V13" s="86">
        <f>IF(ISNUMBER(SMALL(Simulation!$K$12:Simulation!$L$26,2)),SMALL(Simulation!$K$12:Simulation!$L$26,2),1)</f>
        <v>0.4034722222222221</v>
      </c>
      <c r="W13" s="86">
        <f>IF(ISNUMBER(SMALL(Simulation!$M$12:Simulation!$N$26,2)),SMALL(Simulation!$M$12:Simulation!$N$26,2),1)</f>
        <v>0.40416666666666656</v>
      </c>
      <c r="X13" s="86">
        <f>IF(ISNUMBER(SMALL(Simulation!$O$12:Simulation!$P$26,2)),SMALL(Simulation!$O$12:Simulation!$P$26,2),1)</f>
        <v>0.404861111111111</v>
      </c>
    </row>
    <row r="14" spans="1:24" ht="12.75">
      <c r="A14" s="76">
        <f aca="true" t="shared" si="10" ref="A14:A26">IF(ISTEXT(F14),"closed",A13+1)</f>
        <v>3</v>
      </c>
      <c r="B14" s="62">
        <f ca="1" t="shared" si="1"/>
        <v>10</v>
      </c>
      <c r="C14" s="79">
        <f t="shared" si="2"/>
        <v>0.006944444444444444</v>
      </c>
      <c r="D14" s="62">
        <f ca="1" t="shared" si="3"/>
        <v>9</v>
      </c>
      <c r="E14" s="79">
        <f t="shared" si="4"/>
        <v>0.00625</v>
      </c>
      <c r="F14" s="79">
        <f t="shared" si="5"/>
        <v>0.39583333333333326</v>
      </c>
      <c r="G14" s="79">
        <f t="shared" si="6"/>
        <v>0</v>
      </c>
      <c r="H14" s="80">
        <f t="shared" si="7"/>
      </c>
      <c r="I14" s="79">
        <f t="shared" si="0"/>
      </c>
      <c r="J14" s="79">
        <f>IF(ISTEXT($F14),"",MAX(Simulation!H$11:H13,start_time,$F14))</f>
        <v>0.39583333333333326</v>
      </c>
      <c r="K14" s="79">
        <f>IF(ISTEXT($F14),"",MAX(Simulation!J$11:J13,start_time,$F14))</f>
        <v>0.39583333333333326</v>
      </c>
      <c r="L14" s="79">
        <f>IF(ISTEXT($F14),"",MAX(Simulation!L$11:L13,start_time,$F14))</f>
        <v>0.39583333333333326</v>
      </c>
      <c r="M14" s="79">
        <f>IF(ISTEXT($F14),"",MAX(Simulation!N$11:N13,start_time,$F14))</f>
        <v>0.39583333333333326</v>
      </c>
      <c r="N14" s="79">
        <f>IF(ISTEXT($F14),"",MAX(Simulation!P$11:P13,start_time,$F14))</f>
        <v>0.39583333333333326</v>
      </c>
      <c r="O14" s="79">
        <f t="shared" si="8"/>
        <v>0.39583333333333326</v>
      </c>
      <c r="P14" s="80">
        <f t="shared" si="9"/>
        <v>1</v>
      </c>
      <c r="Q14" s="83">
        <f>IF(H14="renege","",E14)</f>
        <v>0.00625</v>
      </c>
      <c r="R14" s="84">
        <f>IF(Simulation!R14="",Simulation!Q14,Simulation!R14)</f>
        <v>0</v>
      </c>
      <c r="T14" s="86">
        <f>IF(ISNUMBER(SMALL(Simulation!$G$12:Simulation!$H$26,3)),SMALL(Simulation!$G$12:Simulation!$H$26,3),1)</f>
        <v>0.38888888888888884</v>
      </c>
      <c r="U14" s="86">
        <f>IF(ISNUMBER(SMALL(Simulation!$I$12:Simulation!$J$26,3)),SMALL(Simulation!$I$12:Simulation!$J$26,3),1)</f>
        <v>0.40069444444444435</v>
      </c>
      <c r="V14" s="86">
        <f>IF(ISNUMBER(SMALL(Simulation!$K$12:Simulation!$L$26,3)),SMALL(Simulation!$K$12:Simulation!$L$26,3),1)</f>
        <v>1</v>
      </c>
      <c r="W14" s="86">
        <f>IF(ISNUMBER(SMALL(Simulation!$M$12:Simulation!$N$26,3)),SMALL(Simulation!$M$12:Simulation!$N$26,3),1)</f>
        <v>1</v>
      </c>
      <c r="X14" s="86">
        <f>IF(ISNUMBER(SMALL(Simulation!$O$12:Simulation!$P$26,3)),SMALL(Simulation!$O$12:Simulation!$P$26,3),1)</f>
        <v>1</v>
      </c>
    </row>
    <row r="15" spans="1:24" ht="12.75">
      <c r="A15" s="76">
        <f t="shared" si="10"/>
        <v>4</v>
      </c>
      <c r="B15" s="62">
        <f ca="1" t="shared" si="1"/>
        <v>1</v>
      </c>
      <c r="C15" s="79">
        <f t="shared" si="2"/>
        <v>0.0006944444444444445</v>
      </c>
      <c r="D15" s="62">
        <f ca="1" t="shared" si="3"/>
        <v>6</v>
      </c>
      <c r="E15" s="79">
        <f t="shared" si="4"/>
        <v>0.004166666666666667</v>
      </c>
      <c r="F15" s="79">
        <f t="shared" si="5"/>
        <v>0.3965277777777777</v>
      </c>
      <c r="G15" s="79">
        <f t="shared" si="6"/>
        <v>0</v>
      </c>
      <c r="H15" s="80">
        <f t="shared" si="7"/>
      </c>
      <c r="I15" s="79">
        <f t="shared" si="0"/>
      </c>
      <c r="J15" s="79">
        <f>IF(ISTEXT($F15),"",MAX(Simulation!H$11:H14,start_time,$F15))</f>
        <v>0.40208333333333324</v>
      </c>
      <c r="K15" s="79">
        <f>IF(ISTEXT($F15),"",MAX(Simulation!J$11:J14,start_time,$F15))</f>
        <v>0.3965277777777777</v>
      </c>
      <c r="L15" s="79">
        <f>IF(ISTEXT($F15),"",MAX(Simulation!L$11:L14,start_time,$F15))</f>
        <v>0.3965277777777777</v>
      </c>
      <c r="M15" s="79">
        <f>IF(ISTEXT($F15),"",MAX(Simulation!N$11:N14,start_time,$F15))</f>
        <v>0.3965277777777777</v>
      </c>
      <c r="N15" s="79">
        <f>IF(ISTEXT($F15),"",MAX(Simulation!P$11:P14,start_time,$F15))</f>
        <v>0.3965277777777777</v>
      </c>
      <c r="O15" s="79">
        <f t="shared" si="8"/>
        <v>0.3965277777777777</v>
      </c>
      <c r="P15" s="80">
        <f t="shared" si="9"/>
        <v>2</v>
      </c>
      <c r="Q15" s="83">
        <f>IF(H15="renege","",E15)</f>
        <v>0.004166666666666667</v>
      </c>
      <c r="R15" s="84">
        <f>IF(Simulation!R15="",Simulation!Q15,Simulation!R15)</f>
        <v>0</v>
      </c>
      <c r="T15" s="86">
        <f>IF(ISNUMBER(SMALL(Simulation!$G$12:Simulation!$H$26,4)),SMALL(Simulation!$G$12:Simulation!$H$26,4),1)</f>
        <v>0.3930555555555555</v>
      </c>
      <c r="U15" s="86">
        <f>IF(ISNUMBER(SMALL(Simulation!$I$12:Simulation!$J$26,4)),SMALL(Simulation!$I$12:Simulation!$J$26,4),1)</f>
        <v>0.404861111111111</v>
      </c>
      <c r="V15" s="86">
        <f>IF(ISNUMBER(SMALL(Simulation!$K$12:Simulation!$L$26,4)),SMALL(Simulation!$K$12:Simulation!$L$26,4),1)</f>
        <v>1</v>
      </c>
      <c r="W15" s="86">
        <f>IF(ISNUMBER(SMALL(Simulation!$M$12:Simulation!$N$26,4)),SMALL(Simulation!$M$12:Simulation!$N$26,4),1)</f>
        <v>1</v>
      </c>
      <c r="X15" s="86">
        <f>IF(ISNUMBER(SMALL(Simulation!$O$12:Simulation!$P$26,4)),SMALL(Simulation!$O$12:Simulation!$P$26,4),1)</f>
        <v>1</v>
      </c>
    </row>
    <row r="16" spans="1:24" ht="12.75">
      <c r="A16" s="76">
        <f t="shared" si="10"/>
        <v>5</v>
      </c>
      <c r="B16" s="62">
        <f ca="1" t="shared" si="1"/>
        <v>1</v>
      </c>
      <c r="C16" s="79">
        <f t="shared" si="2"/>
        <v>0.0006944444444444445</v>
      </c>
      <c r="D16" s="62">
        <f ca="1" t="shared" si="3"/>
        <v>9</v>
      </c>
      <c r="E16" s="79">
        <f t="shared" si="4"/>
        <v>0.00625</v>
      </c>
      <c r="F16" s="79">
        <f t="shared" si="5"/>
        <v>0.39722222222222214</v>
      </c>
      <c r="G16" s="79">
        <f t="shared" si="6"/>
        <v>0</v>
      </c>
      <c r="H16" s="80">
        <f t="shared" si="7"/>
      </c>
      <c r="I16" s="79">
        <f t="shared" si="0"/>
      </c>
      <c r="J16" s="79">
        <f>IF(ISTEXT($F16),"",MAX(Simulation!H$11:H15,start_time,$F16))</f>
        <v>0.40208333333333324</v>
      </c>
      <c r="K16" s="79">
        <f>IF(ISTEXT($F16),"",MAX(Simulation!J$11:J15,start_time,$F16))</f>
        <v>0.40069444444444435</v>
      </c>
      <c r="L16" s="79">
        <f>IF(ISTEXT($F16),"",MAX(Simulation!L$11:L15,start_time,$F16))</f>
        <v>0.39722222222222214</v>
      </c>
      <c r="M16" s="79">
        <f>IF(ISTEXT($F16),"",MAX(Simulation!N$11:N15,start_time,$F16))</f>
        <v>0.39722222222222214</v>
      </c>
      <c r="N16" s="79">
        <f>IF(ISTEXT($F16),"",MAX(Simulation!P$11:P15,start_time,$F16))</f>
        <v>0.39722222222222214</v>
      </c>
      <c r="O16" s="79">
        <f t="shared" si="8"/>
        <v>0.39722222222222214</v>
      </c>
      <c r="P16" s="80">
        <f t="shared" si="9"/>
        <v>3</v>
      </c>
      <c r="Q16" s="83">
        <f>IF(H16="renege","",E16)</f>
        <v>0.00625</v>
      </c>
      <c r="R16" s="84">
        <f>IF(Simulation!R16="",Simulation!Q16,Simulation!R16)</f>
        <v>0</v>
      </c>
      <c r="T16" s="86">
        <f>IF(ISNUMBER(SMALL(Simulation!$G$12:Simulation!$H$26,5)),SMALL(Simulation!$G$12:Simulation!$H$26,5),1)</f>
        <v>0.39583333333333326</v>
      </c>
      <c r="U16" s="86">
        <f>IF(ISNUMBER(SMALL(Simulation!$I$12:Simulation!$J$26,5)),SMALL(Simulation!$I$12:Simulation!$J$26,5),1)</f>
        <v>1</v>
      </c>
      <c r="V16" s="86">
        <f>IF(ISNUMBER(SMALL(Simulation!$K$12:Simulation!$L$26,5)),SMALL(Simulation!$K$12:Simulation!$L$26,5),1)</f>
        <v>1</v>
      </c>
      <c r="W16" s="86">
        <f>IF(ISNUMBER(SMALL(Simulation!$M$12:Simulation!$N$26,5)),SMALL(Simulation!$M$12:Simulation!$N$26,5),1)</f>
        <v>1</v>
      </c>
      <c r="X16" s="86">
        <f>IF(ISNUMBER(SMALL(Simulation!$O$12:Simulation!$P$26,5)),SMALL(Simulation!$O$12:Simulation!$P$26,5),1)</f>
        <v>1</v>
      </c>
    </row>
    <row r="17" spans="1:24" ht="12.75">
      <c r="A17" s="76">
        <f t="shared" si="10"/>
        <v>6</v>
      </c>
      <c r="B17" s="62">
        <f ca="1" t="shared" si="1"/>
        <v>1</v>
      </c>
      <c r="C17" s="79">
        <f t="shared" si="2"/>
        <v>0.0006944444444444445</v>
      </c>
      <c r="D17" s="62">
        <f ca="1" t="shared" si="3"/>
        <v>9</v>
      </c>
      <c r="E17" s="79">
        <f t="shared" si="4"/>
        <v>0.00625</v>
      </c>
      <c r="F17" s="79">
        <f t="shared" si="5"/>
        <v>0.3979166666666666</v>
      </c>
      <c r="G17" s="79">
        <f t="shared" si="6"/>
        <v>0</v>
      </c>
      <c r="H17" s="80">
        <f t="shared" si="7"/>
      </c>
      <c r="I17" s="79">
        <f t="shared" si="0"/>
      </c>
      <c r="J17" s="79">
        <f>IF(ISTEXT($F17),"",MAX(Simulation!H$11:H16,start_time,$F17))</f>
        <v>0.40208333333333324</v>
      </c>
      <c r="K17" s="79">
        <f>IF(ISTEXT($F17),"",MAX(Simulation!J$11:J16,start_time,$F17))</f>
        <v>0.40069444444444435</v>
      </c>
      <c r="L17" s="79">
        <f>IF(ISTEXT($F17),"",MAX(Simulation!L$11:L16,start_time,$F17))</f>
        <v>0.4034722222222221</v>
      </c>
      <c r="M17" s="79">
        <f>IF(ISTEXT($F17),"",MAX(Simulation!N$11:N16,start_time,$F17))</f>
        <v>0.3979166666666666</v>
      </c>
      <c r="N17" s="79">
        <f>IF(ISTEXT($F17),"",MAX(Simulation!P$11:P16,start_time,$F17))</f>
        <v>0.3979166666666666</v>
      </c>
      <c r="O17" s="79">
        <f t="shared" si="8"/>
        <v>0.3979166666666666</v>
      </c>
      <c r="P17" s="80">
        <f t="shared" si="9"/>
        <v>4</v>
      </c>
      <c r="Q17" s="83">
        <f>IF(H17="renege","",E17)</f>
        <v>0.00625</v>
      </c>
      <c r="R17" s="84">
        <f>IF(Simulation!R17="",Simulation!Q17,Simulation!R17)</f>
        <v>0</v>
      </c>
      <c r="T17" s="86">
        <f>IF(ISNUMBER(SMALL(Simulation!$G$12:Simulation!$H$26,6)),SMALL(Simulation!$G$12:Simulation!$H$26,6),1)</f>
        <v>0.40208333333333324</v>
      </c>
      <c r="U17" s="86">
        <f>IF(ISNUMBER(SMALL(Simulation!$I$12:Simulation!$J$26,6)),SMALL(Simulation!$I$12:Simulation!$J$26,6),1)</f>
        <v>1</v>
      </c>
      <c r="V17" s="86">
        <f>IF(ISNUMBER(SMALL(Simulation!$K$12:Simulation!$L$26,6)),SMALL(Simulation!$K$12:Simulation!$L$26,6),1)</f>
        <v>1</v>
      </c>
      <c r="W17" s="86">
        <f>IF(ISNUMBER(SMALL(Simulation!$M$12:Simulation!$N$26,6)),SMALL(Simulation!$M$12:Simulation!$N$26,6),1)</f>
        <v>1</v>
      </c>
      <c r="X17" s="86">
        <f>IF(ISNUMBER(SMALL(Simulation!$O$12:Simulation!$P$26,6)),SMALL(Simulation!$O$12:Simulation!$P$26,6),1)</f>
        <v>1</v>
      </c>
    </row>
    <row r="18" spans="1:24" ht="12.75">
      <c r="A18" s="76">
        <f t="shared" si="10"/>
        <v>7</v>
      </c>
      <c r="B18" s="62">
        <f ca="1" t="shared" si="1"/>
        <v>1</v>
      </c>
      <c r="C18" s="79">
        <f t="shared" si="2"/>
        <v>0.0006944444444444445</v>
      </c>
      <c r="D18" s="62">
        <f ca="1" t="shared" si="3"/>
        <v>9</v>
      </c>
      <c r="E18" s="79">
        <f t="shared" si="4"/>
        <v>0.00625</v>
      </c>
      <c r="F18" s="79">
        <f t="shared" si="5"/>
        <v>0.398611111111111</v>
      </c>
      <c r="G18" s="79">
        <f t="shared" si="6"/>
        <v>0</v>
      </c>
      <c r="H18" s="80">
        <f t="shared" si="7"/>
      </c>
      <c r="I18" s="79">
        <f t="shared" si="0"/>
      </c>
      <c r="J18" s="79">
        <f>IF(ISTEXT($F18),"",MAX(Simulation!H$11:H17,start_time,$F18))</f>
        <v>0.40208333333333324</v>
      </c>
      <c r="K18" s="79">
        <f>IF(ISTEXT($F18),"",MAX(Simulation!J$11:J17,start_time,$F18))</f>
        <v>0.40069444444444435</v>
      </c>
      <c r="L18" s="79">
        <f>IF(ISTEXT($F18),"",MAX(Simulation!L$11:L17,start_time,$F18))</f>
        <v>0.4034722222222221</v>
      </c>
      <c r="M18" s="79">
        <f>IF(ISTEXT($F18),"",MAX(Simulation!N$11:N17,start_time,$F18))</f>
        <v>0.40416666666666656</v>
      </c>
      <c r="N18" s="79">
        <f>IF(ISTEXT($F18),"",MAX(Simulation!P$11:P17,start_time,$F18))</f>
        <v>0.398611111111111</v>
      </c>
      <c r="O18" s="79">
        <f t="shared" si="8"/>
        <v>0.398611111111111</v>
      </c>
      <c r="P18" s="80">
        <f t="shared" si="9"/>
        <v>5</v>
      </c>
      <c r="Q18" s="83">
        <f>IF(H18="renege","",E18)</f>
        <v>0.00625</v>
      </c>
      <c r="R18" s="84">
        <f>IF(Simulation!R18="",Simulation!Q18,Simulation!R18)</f>
        <v>0</v>
      </c>
      <c r="T18" s="86">
        <f>IF(ISNUMBER(SMALL(Simulation!$G$12:Simulation!$H$26,7)),SMALL(Simulation!$G$12:Simulation!$H$26,7),1)</f>
        <v>0.40694444444444433</v>
      </c>
      <c r="U18" s="86">
        <f>IF(ISNUMBER(SMALL(Simulation!$I$12:Simulation!$J$26,7)),SMALL(Simulation!$I$12:Simulation!$J$26,7),1)</f>
        <v>1</v>
      </c>
      <c r="V18" s="86">
        <f>IF(ISNUMBER(SMALL(Simulation!$K$12:Simulation!$L$26,7)),SMALL(Simulation!$K$12:Simulation!$L$26,7),1)</f>
        <v>1</v>
      </c>
      <c r="W18" s="86">
        <f>IF(ISNUMBER(SMALL(Simulation!$M$12:Simulation!$N$26,7)),SMALL(Simulation!$M$12:Simulation!$N$26,7),1)</f>
        <v>1</v>
      </c>
      <c r="X18" s="86">
        <f>IF(ISNUMBER(SMALL(Simulation!$O$12:Simulation!$P$26,7)),SMALL(Simulation!$O$12:Simulation!$P$26,7),1)</f>
        <v>1</v>
      </c>
    </row>
    <row r="19" spans="1:24" ht="12.75">
      <c r="A19" s="76">
        <f t="shared" si="10"/>
        <v>8</v>
      </c>
      <c r="B19" s="62">
        <f ca="1" t="shared" si="1"/>
        <v>1</v>
      </c>
      <c r="C19" s="79">
        <f t="shared" si="2"/>
        <v>0.0006944444444444445</v>
      </c>
      <c r="D19" s="62">
        <f ca="1" t="shared" si="3"/>
        <v>6</v>
      </c>
      <c r="E19" s="79">
        <f t="shared" si="4"/>
        <v>0.004166666666666667</v>
      </c>
      <c r="F19" s="79">
        <f t="shared" si="5"/>
        <v>0.39930555555555547</v>
      </c>
      <c r="G19" s="79">
        <f t="shared" si="6"/>
        <v>0.001388888888888884</v>
      </c>
      <c r="H19" s="80">
        <f t="shared" si="7"/>
      </c>
      <c r="I19" s="79">
        <f t="shared" si="0"/>
      </c>
      <c r="J19" s="79">
        <f>IF(ISTEXT($F19),"",MAX(Simulation!H$11:H18,start_time,$F19))</f>
        <v>0.40208333333333324</v>
      </c>
      <c r="K19" s="79">
        <f>IF(ISTEXT($F19),"",MAX(Simulation!J$11:J18,start_time,$F19))</f>
        <v>0.40069444444444435</v>
      </c>
      <c r="L19" s="79">
        <f>IF(ISTEXT($F19),"",MAX(Simulation!L$11:L18,start_time,$F19))</f>
        <v>0.4034722222222221</v>
      </c>
      <c r="M19" s="79">
        <f>IF(ISTEXT($F19),"",MAX(Simulation!N$11:N18,start_time,$F19))</f>
        <v>0.40416666666666656</v>
      </c>
      <c r="N19" s="79">
        <f>IF(ISTEXT($F19),"",MAX(Simulation!P$11:P18,start_time,$F19))</f>
        <v>0.404861111111111</v>
      </c>
      <c r="O19" s="79">
        <f t="shared" si="8"/>
        <v>0.40069444444444435</v>
      </c>
      <c r="P19" s="80">
        <f t="shared" si="9"/>
        <v>2</v>
      </c>
      <c r="Q19" s="83">
        <f>IF(H19="renege","",E19)</f>
        <v>0.004166666666666667</v>
      </c>
      <c r="R19" s="84">
        <f>IF(Simulation!R19="",Simulation!Q19,Simulation!R19)</f>
        <v>0.001388888888888884</v>
      </c>
      <c r="T19" s="86">
        <f>IF(ISNUMBER(SMALL(Simulation!$G$12:Simulation!$H$26,8)),SMALL(Simulation!$G$12:Simulation!$H$26,8),1)</f>
        <v>0.411111111111111</v>
      </c>
      <c r="U19" s="86">
        <f>IF(ISNUMBER(SMALL(Simulation!$I$12:Simulation!$J$26,8)),SMALL(Simulation!$I$12:Simulation!$J$26,8),1)</f>
        <v>1</v>
      </c>
      <c r="V19" s="86">
        <f>IF(ISNUMBER(SMALL(Simulation!$K$12:Simulation!$L$26,8)),SMALL(Simulation!$K$12:Simulation!$L$26,8),1)</f>
        <v>1</v>
      </c>
      <c r="W19" s="86">
        <f>IF(ISNUMBER(SMALL(Simulation!$M$12:Simulation!$N$26,8)),SMALL(Simulation!$M$12:Simulation!$N$26,8),1)</f>
        <v>1</v>
      </c>
      <c r="X19" s="86">
        <f>IF(ISNUMBER(SMALL(Simulation!$O$12:Simulation!$P$26,8)),SMALL(Simulation!$O$12:Simulation!$P$26,8),1)</f>
        <v>1</v>
      </c>
    </row>
    <row r="20" spans="1:24" ht="12.75">
      <c r="A20" s="76">
        <f t="shared" si="10"/>
        <v>9</v>
      </c>
      <c r="B20" s="62">
        <f ca="1" t="shared" si="1"/>
        <v>1</v>
      </c>
      <c r="C20" s="79">
        <f t="shared" si="2"/>
        <v>0.0006944444444444445</v>
      </c>
      <c r="D20" s="62">
        <f ca="1" t="shared" si="3"/>
        <v>6</v>
      </c>
      <c r="E20" s="79">
        <f t="shared" si="4"/>
        <v>0.004166666666666667</v>
      </c>
      <c r="F20" s="79">
        <f t="shared" si="5"/>
        <v>0.3999999999999999</v>
      </c>
      <c r="G20" s="79">
        <f t="shared" si="6"/>
        <v>0.002083333333333326</v>
      </c>
      <c r="H20" s="80" t="str">
        <f t="shared" si="7"/>
        <v>renege</v>
      </c>
      <c r="I20" s="79">
        <f t="shared" si="0"/>
        <v>0.4013888888888888</v>
      </c>
      <c r="J20" s="79">
        <f>IF(ISTEXT($F20),"",MAX(Simulation!H$11:H19,start_time,$F20))</f>
        <v>0.40208333333333324</v>
      </c>
      <c r="K20" s="79">
        <f>IF(ISTEXT($F20),"",MAX(Simulation!J$11:J19,start_time,$F20))</f>
        <v>0.404861111111111</v>
      </c>
      <c r="L20" s="79">
        <f>IF(ISTEXT($F20),"",MAX(Simulation!L$11:L19,start_time,$F20))</f>
        <v>0.4034722222222221</v>
      </c>
      <c r="M20" s="79">
        <f>IF(ISTEXT($F20),"",MAX(Simulation!N$11:N19,start_time,$F20))</f>
        <v>0.40416666666666656</v>
      </c>
      <c r="N20" s="79">
        <f>IF(ISTEXT($F20),"",MAX(Simulation!P$11:P19,start_time,$F20))</f>
        <v>0.404861111111111</v>
      </c>
      <c r="O20" s="79">
        <f t="shared" si="8"/>
        <v>0.40208333333333324</v>
      </c>
      <c r="P20" s="80">
        <f t="shared" si="9"/>
      </c>
      <c r="Q20" s="83">
        <f>IF(H20="renege","",E20)</f>
      </c>
      <c r="R20" s="84">
        <f>IF(Simulation!R20="",Simulation!Q20,Simulation!R20)</f>
        <v>0.001388888888888884</v>
      </c>
      <c r="T20" s="86">
        <f>IF(ISNUMBER(SMALL(Simulation!$G$12:Simulation!$H$26,9)),SMALL(Simulation!$G$12:Simulation!$H$26,9),1)</f>
        <v>0.41388888888888875</v>
      </c>
      <c r="U20" s="86">
        <f>IF(ISNUMBER(SMALL(Simulation!$I$12:Simulation!$J$26,9)),SMALL(Simulation!$I$12:Simulation!$J$26,9),1)</f>
        <v>1</v>
      </c>
      <c r="V20" s="86">
        <f>IF(ISNUMBER(SMALL(Simulation!$K$12:Simulation!$L$26,9)),SMALL(Simulation!$K$12:Simulation!$L$26,9),1)</f>
        <v>1</v>
      </c>
      <c r="W20" s="86">
        <f>IF(ISNUMBER(SMALL(Simulation!$M$12:Simulation!$N$26,9)),SMALL(Simulation!$M$12:Simulation!$N$26,9),1)</f>
        <v>1</v>
      </c>
      <c r="X20" s="86">
        <f>IF(ISNUMBER(SMALL(Simulation!$O$12:Simulation!$P$26,9)),SMALL(Simulation!$O$12:Simulation!$P$26,9),1)</f>
        <v>1</v>
      </c>
    </row>
    <row r="21" spans="1:24" ht="12.75">
      <c r="A21" s="76">
        <f t="shared" si="10"/>
        <v>10</v>
      </c>
      <c r="B21" s="62">
        <f ca="1" t="shared" si="1"/>
        <v>10</v>
      </c>
      <c r="C21" s="79">
        <f t="shared" si="2"/>
        <v>0.006944444444444444</v>
      </c>
      <c r="D21" s="62">
        <f ca="1" t="shared" si="3"/>
        <v>6</v>
      </c>
      <c r="E21" s="79">
        <f t="shared" si="4"/>
        <v>0.004166666666666667</v>
      </c>
      <c r="F21" s="79">
        <f t="shared" si="5"/>
        <v>0.40694444444444433</v>
      </c>
      <c r="G21" s="79">
        <f t="shared" si="6"/>
        <v>0</v>
      </c>
      <c r="H21" s="80">
        <f t="shared" si="7"/>
      </c>
      <c r="I21" s="79">
        <f t="shared" si="0"/>
      </c>
      <c r="J21" s="79">
        <f>IF(ISTEXT($F21),"",MAX(Simulation!H$11:H20,start_time,$F21))</f>
        <v>0.40694444444444433</v>
      </c>
      <c r="K21" s="79">
        <f>IF(ISTEXT($F21),"",MAX(Simulation!J$11:J20,start_time,$F21))</f>
        <v>0.40694444444444433</v>
      </c>
      <c r="L21" s="79">
        <f>IF(ISTEXT($F21),"",MAX(Simulation!L$11:L20,start_time,$F21))</f>
        <v>0.40694444444444433</v>
      </c>
      <c r="M21" s="79">
        <f>IF(ISTEXT($F21),"",MAX(Simulation!N$11:N20,start_time,$F21))</f>
        <v>0.40694444444444433</v>
      </c>
      <c r="N21" s="79">
        <f>IF(ISTEXT($F21),"",MAX(Simulation!P$11:P20,start_time,$F21))</f>
        <v>0.40694444444444433</v>
      </c>
      <c r="O21" s="79">
        <f t="shared" si="8"/>
        <v>0.40694444444444433</v>
      </c>
      <c r="P21" s="80">
        <f t="shared" si="9"/>
        <v>1</v>
      </c>
      <c r="Q21" s="83">
        <f>IF(H21="renege","",E21)</f>
        <v>0.004166666666666667</v>
      </c>
      <c r="R21" s="84">
        <f>IF(Simulation!R21="",Simulation!Q21,Simulation!R21)</f>
        <v>0</v>
      </c>
      <c r="T21" s="86">
        <f>IF(ISNUMBER(SMALL(Simulation!$G$12:Simulation!$H$26,10)),SMALL(Simulation!$G$12:Simulation!$H$26,10),1)</f>
        <v>0.4159722222222221</v>
      </c>
      <c r="U21" s="86">
        <f>IF(ISNUMBER(SMALL(Simulation!$I$12:Simulation!$J$26,10)),SMALL(Simulation!$I$12:Simulation!$J$26,10),1)</f>
        <v>1</v>
      </c>
      <c r="V21" s="86">
        <f>IF(ISNUMBER(SMALL(Simulation!$K$12:Simulation!$L$26,10)),SMALL(Simulation!$K$12:Simulation!$L$26,10),1)</f>
        <v>1</v>
      </c>
      <c r="W21" s="86">
        <f>IF(ISNUMBER(SMALL(Simulation!$M$12:Simulation!$N$26,10)),SMALL(Simulation!$M$12:Simulation!$N$26,10),1)</f>
        <v>1</v>
      </c>
      <c r="X21" s="86">
        <f>IF(ISNUMBER(SMALL(Simulation!$O$12:Simulation!$P$26,10)),SMALL(Simulation!$O$12:Simulation!$P$26,10),1)</f>
        <v>1</v>
      </c>
    </row>
    <row r="22" spans="1:24" ht="12.75">
      <c r="A22" s="76">
        <f t="shared" si="10"/>
        <v>11</v>
      </c>
      <c r="B22" s="62">
        <f ca="1" t="shared" si="1"/>
        <v>10</v>
      </c>
      <c r="C22" s="79">
        <f t="shared" si="2"/>
        <v>0.006944444444444444</v>
      </c>
      <c r="D22" s="62">
        <f ca="1" t="shared" si="3"/>
        <v>3</v>
      </c>
      <c r="E22" s="79">
        <f t="shared" si="4"/>
        <v>0.0020833333333333333</v>
      </c>
      <c r="F22" s="79">
        <f t="shared" si="5"/>
        <v>0.41388888888888875</v>
      </c>
      <c r="G22" s="79">
        <f t="shared" si="6"/>
        <v>0</v>
      </c>
      <c r="H22" s="80">
        <f t="shared" si="7"/>
      </c>
      <c r="I22" s="79">
        <f t="shared" si="0"/>
      </c>
      <c r="J22" s="79">
        <f>IF(ISTEXT($F22),"",MAX(Simulation!H$11:H21,start_time,$F22))</f>
        <v>0.41388888888888875</v>
      </c>
      <c r="K22" s="79">
        <f>IF(ISTEXT($F22),"",MAX(Simulation!J$11:J21,start_time,$F22))</f>
        <v>0.41388888888888875</v>
      </c>
      <c r="L22" s="79">
        <f>IF(ISTEXT($F22),"",MAX(Simulation!L$11:L21,start_time,$F22))</f>
        <v>0.41388888888888875</v>
      </c>
      <c r="M22" s="79">
        <f>IF(ISTEXT($F22),"",MAX(Simulation!N$11:N21,start_time,$F22))</f>
        <v>0.41388888888888875</v>
      </c>
      <c r="N22" s="79">
        <f>IF(ISTEXT($F22),"",MAX(Simulation!P$11:P21,start_time,$F22))</f>
        <v>0.41388888888888875</v>
      </c>
      <c r="O22" s="79">
        <f t="shared" si="8"/>
        <v>0.41388888888888875</v>
      </c>
      <c r="P22" s="80">
        <f t="shared" si="9"/>
        <v>1</v>
      </c>
      <c r="Q22" s="83">
        <f>IF(H22="renege","",E22)</f>
        <v>0.0020833333333333333</v>
      </c>
      <c r="R22" s="84">
        <f>IF(Simulation!R22="",Simulation!Q22,Simulation!R22)</f>
        <v>0</v>
      </c>
      <c r="T22" s="86">
        <f>IF(ISNUMBER(SMALL(Simulation!$G$12:Simulation!$H$26,11)),SMALL(Simulation!$G$12:Simulation!$H$26,11),1)</f>
        <v>0.4159722222222221</v>
      </c>
      <c r="U22" s="86">
        <f>IF(ISNUMBER(SMALL(Simulation!$I$12:Simulation!$J$26,11)),SMALL(Simulation!$I$12:Simulation!$J$26,11),1)</f>
        <v>1</v>
      </c>
      <c r="V22" s="86">
        <f>IF(ISNUMBER(SMALL(Simulation!$K$12:Simulation!$L$26,11)),SMALL(Simulation!$K$12:Simulation!$L$26,11),1)</f>
        <v>1</v>
      </c>
      <c r="W22" s="86">
        <f>IF(ISNUMBER(SMALL(Simulation!$M$12:Simulation!$N$26,11)),SMALL(Simulation!$M$12:Simulation!$N$26,11),1)</f>
        <v>1</v>
      </c>
      <c r="X22" s="86">
        <f>IF(ISNUMBER(SMALL(Simulation!$O$12:Simulation!$P$26,11)),SMALL(Simulation!$O$12:Simulation!$P$26,11),1)</f>
        <v>1</v>
      </c>
    </row>
    <row r="23" spans="1:24" ht="12.75">
      <c r="A23" s="76">
        <f t="shared" si="10"/>
        <v>12</v>
      </c>
      <c r="B23" s="62">
        <f ca="1" t="shared" si="1"/>
        <v>3</v>
      </c>
      <c r="C23" s="79">
        <f t="shared" si="2"/>
        <v>0.0020833333333333333</v>
      </c>
      <c r="D23" s="62">
        <f ca="1" t="shared" si="3"/>
        <v>6</v>
      </c>
      <c r="E23" s="79">
        <f t="shared" si="4"/>
        <v>0.004166666666666667</v>
      </c>
      <c r="F23" s="79">
        <f t="shared" si="5"/>
        <v>0.4159722222222221</v>
      </c>
      <c r="G23" s="79">
        <f t="shared" si="6"/>
        <v>0</v>
      </c>
      <c r="H23" s="80">
        <f t="shared" si="7"/>
      </c>
      <c r="I23" s="79">
        <f t="shared" si="0"/>
      </c>
      <c r="J23" s="79">
        <f>IF(ISTEXT($F23),"",MAX(Simulation!H$11:H22,start_time,$F23))</f>
        <v>0.4159722222222221</v>
      </c>
      <c r="K23" s="79">
        <f>IF(ISTEXT($F23),"",MAX(Simulation!J$11:J22,start_time,$F23))</f>
        <v>0.4159722222222221</v>
      </c>
      <c r="L23" s="79">
        <f>IF(ISTEXT($F23),"",MAX(Simulation!L$11:L22,start_time,$F23))</f>
        <v>0.4159722222222221</v>
      </c>
      <c r="M23" s="79">
        <f>IF(ISTEXT($F23),"",MAX(Simulation!N$11:N22,start_time,$F23))</f>
        <v>0.4159722222222221</v>
      </c>
      <c r="N23" s="79">
        <f>IF(ISTEXT($F23),"",MAX(Simulation!P$11:P22,start_time,$F23))</f>
        <v>0.4159722222222221</v>
      </c>
      <c r="O23" s="79">
        <f t="shared" si="8"/>
        <v>0.4159722222222221</v>
      </c>
      <c r="P23" s="80">
        <f t="shared" si="9"/>
        <v>1</v>
      </c>
      <c r="Q23" s="83">
        <f>IF(H23="renege","",E23)</f>
        <v>0.004166666666666667</v>
      </c>
      <c r="R23" s="84">
        <f>IF(Simulation!R23="",Simulation!Q23,Simulation!R23)</f>
        <v>0</v>
      </c>
      <c r="T23" s="86">
        <f>IF(ISNUMBER(SMALL(Simulation!$G$12:Simulation!$H$26,12)),SMALL(Simulation!$G$12:Simulation!$H$26,12),1)</f>
        <v>0.42013888888888873</v>
      </c>
      <c r="U23" s="86">
        <f>IF(ISNUMBER(SMALL(Simulation!$I$12:Simulation!$J$26,12)),SMALL(Simulation!$I$12:Simulation!$J$26,12),1)</f>
        <v>1</v>
      </c>
      <c r="V23" s="86">
        <f>IF(ISNUMBER(SMALL(Simulation!$K$12:Simulation!$L$26,12)),SMALL(Simulation!$K$12:Simulation!$L$26,12),1)</f>
        <v>1</v>
      </c>
      <c r="W23" s="86">
        <f>IF(ISNUMBER(SMALL(Simulation!$M$12:Simulation!$N$26,12)),SMALL(Simulation!$M$12:Simulation!$N$26,12),1)</f>
        <v>1</v>
      </c>
      <c r="X23" s="86">
        <f>IF(ISNUMBER(SMALL(Simulation!$O$12:Simulation!$P$26,12)),SMALL(Simulation!$O$12:Simulation!$P$26,12),1)</f>
        <v>1</v>
      </c>
    </row>
    <row r="24" spans="1:24" ht="12.75">
      <c r="A24" s="76" t="str">
        <f t="shared" si="10"/>
        <v>closed</v>
      </c>
      <c r="B24" s="62">
        <f ca="1" t="shared" si="1"/>
        <v>3</v>
      </c>
      <c r="C24" s="79">
        <f t="shared" si="2"/>
        <v>0.0020833333333333333</v>
      </c>
      <c r="D24" s="62">
        <f ca="1" t="shared" si="3"/>
        <v>3</v>
      </c>
      <c r="E24" s="79">
        <f t="shared" si="4"/>
        <v>0.0020833333333333333</v>
      </c>
      <c r="F24" s="79" t="str">
        <f t="shared" si="5"/>
        <v>closed</v>
      </c>
      <c r="G24" s="79">
        <f t="shared" si="6"/>
      </c>
      <c r="H24" s="80">
        <f t="shared" si="7"/>
      </c>
      <c r="I24" s="79">
        <f t="shared" si="0"/>
      </c>
      <c r="J24" s="79">
        <f>IF(ISTEXT($F24),"",MAX(Simulation!H$11:H23,start_time,$F24))</f>
      </c>
      <c r="K24" s="79">
        <f>IF(ISTEXT($F24),"",MAX(Simulation!J$11:J23,start_time,$F24))</f>
      </c>
      <c r="L24" s="79">
        <f>IF(ISTEXT($F24),"",MAX(Simulation!L$11:L23,start_time,$F24))</f>
      </c>
      <c r="M24" s="79">
        <f>IF(ISTEXT($F24),"",MAX(Simulation!N$11:N23,start_time,$F24))</f>
      </c>
      <c r="N24" s="79">
        <f>IF(ISTEXT($F24),"",MAX(Simulation!P$11:P23,start_time,$F24))</f>
      </c>
      <c r="O24" s="79">
        <f t="shared" si="8"/>
      </c>
      <c r="P24" s="80">
        <f t="shared" si="9"/>
      </c>
      <c r="Q24" s="83">
        <f>IF(H24="renege","",E24)</f>
        <v>0.0020833333333333333</v>
      </c>
      <c r="R24" s="84">
        <f>IF(Simulation!R24="",Simulation!Q24,Simulation!R24)</f>
      </c>
      <c r="T24" s="86">
        <f>IF(ISNUMBER(SMALL(Simulation!$G$12:Simulation!$H$26,13)),SMALL(Simulation!$G$12:Simulation!$H$26,13),1)</f>
        <v>1</v>
      </c>
      <c r="U24" s="86">
        <f>IF(ISNUMBER(SMALL(Simulation!$I$12:Simulation!$J$26,13)),SMALL(Simulation!$I$12:Simulation!$J$26,13),1)</f>
        <v>1</v>
      </c>
      <c r="V24" s="86">
        <f>IF(ISNUMBER(SMALL(Simulation!$K$12:Simulation!$L$26,13)),SMALL(Simulation!$K$12:Simulation!$L$26,13),1)</f>
        <v>1</v>
      </c>
      <c r="W24" s="86">
        <f>IF(ISNUMBER(SMALL(Simulation!$M$12:Simulation!$N$26,13)),SMALL(Simulation!$M$12:Simulation!$N$26,13),1)</f>
        <v>1</v>
      </c>
      <c r="X24" s="86">
        <f>IF(ISNUMBER(SMALL(Simulation!$O$12:Simulation!$P$26,13)),SMALL(Simulation!$O$12:Simulation!$P$26,13),1)</f>
        <v>1</v>
      </c>
    </row>
    <row r="25" spans="1:24" ht="12.75">
      <c r="A25" s="76" t="str">
        <f t="shared" si="10"/>
        <v>closed</v>
      </c>
      <c r="B25" s="62">
        <f ca="1" t="shared" si="1"/>
        <v>3</v>
      </c>
      <c r="C25" s="79">
        <f t="shared" si="2"/>
        <v>0.0020833333333333333</v>
      </c>
      <c r="D25" s="62">
        <f ca="1" t="shared" si="3"/>
        <v>9</v>
      </c>
      <c r="E25" s="79">
        <f t="shared" si="4"/>
        <v>0.00625</v>
      </c>
      <c r="F25" s="79">
        <f t="shared" si="5"/>
      </c>
      <c r="G25" s="79">
        <f t="shared" si="6"/>
      </c>
      <c r="H25" s="80">
        <f t="shared" si="7"/>
      </c>
      <c r="I25" s="79">
        <f t="shared" si="0"/>
      </c>
      <c r="J25" s="79">
        <f>IF(ISTEXT($F25),"",MAX(Simulation!H$11:H24,start_time,$F25))</f>
      </c>
      <c r="K25" s="79">
        <f>IF(ISTEXT($F25),"",MAX(Simulation!J$11:J24,start_time,$F25))</f>
      </c>
      <c r="L25" s="79">
        <f>IF(ISTEXT($F25),"",MAX(Simulation!L$11:L24,start_time,$F25))</f>
      </c>
      <c r="M25" s="79">
        <f>IF(ISTEXT($F25),"",MAX(Simulation!N$11:N24,start_time,$F25))</f>
      </c>
      <c r="N25" s="79">
        <f>IF(ISTEXT($F25),"",MAX(Simulation!P$11:P24,start_time,$F25))</f>
      </c>
      <c r="O25" s="79">
        <f t="shared" si="8"/>
      </c>
      <c r="P25" s="80">
        <f t="shared" si="9"/>
      </c>
      <c r="Q25" s="83">
        <f>IF(H25="renege","",E25)</f>
        <v>0.00625</v>
      </c>
      <c r="R25" s="84">
        <f>IF(Simulation!R25="",Simulation!Q25,Simulation!R25)</f>
      </c>
      <c r="T25" s="86">
        <f>IF(ISNUMBER(SMALL(Simulation!$G$12:Simulation!$H$26,14)),SMALL(Simulation!$G$12:Simulation!$H$26,14),1)</f>
        <v>1</v>
      </c>
      <c r="U25" s="86">
        <f>IF(ISNUMBER(SMALL(Simulation!$I$12:Simulation!$J$26,14)),SMALL(Simulation!$I$12:Simulation!$J$26,14),1)</f>
        <v>1</v>
      </c>
      <c r="V25" s="86">
        <f>IF(ISNUMBER(SMALL(Simulation!$K$12:Simulation!$L$26,14)),SMALL(Simulation!$K$12:Simulation!$L$26,14),1)</f>
        <v>1</v>
      </c>
      <c r="W25" s="86">
        <f>IF(ISNUMBER(SMALL(Simulation!$M$12:Simulation!$N$26,14)),SMALL(Simulation!$M$12:Simulation!$N$26,14),1)</f>
        <v>1</v>
      </c>
      <c r="X25" s="86">
        <f>IF(ISNUMBER(SMALL(Simulation!$O$12:Simulation!$P$26,14)),SMALL(Simulation!$O$12:Simulation!$P$26,14),1)</f>
        <v>1</v>
      </c>
    </row>
    <row r="26" spans="1:24" ht="12.75">
      <c r="A26" s="76" t="str">
        <f t="shared" si="10"/>
        <v>closed</v>
      </c>
      <c r="B26" s="62">
        <f ca="1" t="shared" si="1"/>
        <v>10</v>
      </c>
      <c r="C26" s="79">
        <f t="shared" si="2"/>
        <v>0.006944444444444444</v>
      </c>
      <c r="D26" s="62">
        <f ca="1" t="shared" si="3"/>
        <v>3</v>
      </c>
      <c r="E26" s="79">
        <f t="shared" si="4"/>
        <v>0.0020833333333333333</v>
      </c>
      <c r="F26" s="79">
        <f t="shared" si="5"/>
      </c>
      <c r="G26" s="79">
        <f t="shared" si="6"/>
      </c>
      <c r="H26" s="80">
        <f t="shared" si="7"/>
      </c>
      <c r="I26" s="79">
        <f t="shared" si="0"/>
      </c>
      <c r="J26" s="79">
        <f>IF(ISTEXT($F26),"",MAX(Simulation!H$11:H25,start_time,$F26))</f>
      </c>
      <c r="K26" s="79">
        <f>IF(ISTEXT($F26),"",MAX(Simulation!J$11:J25,start_time,$F26))</f>
      </c>
      <c r="L26" s="79">
        <f>IF(ISTEXT($F26),"",MAX(Simulation!L$11:L25,start_time,$F26))</f>
      </c>
      <c r="M26" s="79">
        <f>IF(ISTEXT($F26),"",MAX(Simulation!N$11:N25,start_time,$F26))</f>
      </c>
      <c r="N26" s="79">
        <f>IF(ISTEXT($F26),"",MAX(Simulation!P$11:P25,start_time,$F26))</f>
      </c>
      <c r="O26" s="79">
        <f t="shared" si="8"/>
      </c>
      <c r="P26" s="80">
        <f t="shared" si="9"/>
      </c>
      <c r="Q26" s="83">
        <f>IF(H26="renege","",E26)</f>
        <v>0.0020833333333333333</v>
      </c>
      <c r="R26" s="84">
        <f>IF(Simulation!R26="",Simulation!Q26,Simulation!R26)</f>
      </c>
      <c r="T26" s="86">
        <f>IF(ISNUMBER(SMALL(Simulation!$G$12:Simulation!$H$26,15)),SMALL(Simulation!$G$12:Simulation!$H$26,15),1)</f>
        <v>1</v>
      </c>
      <c r="U26" s="86">
        <f>IF(ISNUMBER(SMALL(Simulation!$I$12:Simulation!$J$26,15)),SMALL(Simulation!$I$12:Simulation!$J$26,15),1)</f>
        <v>1</v>
      </c>
      <c r="V26" s="86">
        <f>IF(ISNUMBER(SMALL(Simulation!$K$12:Simulation!$L$26,15)),SMALL(Simulation!$K$12:Simulation!$L$26,15),1)</f>
        <v>1</v>
      </c>
      <c r="W26" s="86">
        <f>IF(ISNUMBER(SMALL(Simulation!$M$12:Simulation!$N$26,15)),SMALL(Simulation!$M$12:Simulation!$N$26,15),1)</f>
        <v>1</v>
      </c>
      <c r="X26" s="86">
        <f>IF(ISNUMBER(SMALL(Simulation!$O$12:Simulation!$P$26,15)),SMALL(Simulation!$O$12:Simulation!$P$26,15),1)</f>
        <v>1</v>
      </c>
    </row>
    <row r="27" spans="20:24" ht="12.75">
      <c r="T27" s="86">
        <f>IF(ISNUMBER(SMALL(Simulation!$G$12:Simulation!$H$26,16)),SMALL(Simulation!$G$12:Simulation!$H$26,16),1)</f>
        <v>1</v>
      </c>
      <c r="U27" s="86">
        <f>IF(ISNUMBER(SMALL(Simulation!$I$12:Simulation!$J$26,16)),SMALL(Simulation!$I$12:Simulation!$J$26,16),1)</f>
        <v>1</v>
      </c>
      <c r="V27" s="86">
        <f>IF(ISNUMBER(SMALL(Simulation!$K$12:Simulation!$L$26,16)),SMALL(Simulation!$K$12:Simulation!$L$26,16),1)</f>
        <v>1</v>
      </c>
      <c r="W27" s="86">
        <f>IF(ISNUMBER(SMALL(Simulation!$M$12:Simulation!$N$26,16)),SMALL(Simulation!$M$12:Simulation!$N$26,16),1)</f>
        <v>1</v>
      </c>
      <c r="X27" s="86">
        <f>IF(ISNUMBER(SMALL(Simulation!$O$12:Simulation!$P$26,16)),SMALL(Simulation!$O$12:Simulation!$P$26,16),1)</f>
        <v>1</v>
      </c>
    </row>
    <row r="28" spans="6:24" ht="12.75">
      <c r="F28" s="58"/>
      <c r="J28" s="53"/>
      <c r="K28" s="53"/>
      <c r="L28" s="53"/>
      <c r="M28" s="53"/>
      <c r="N28" s="53"/>
      <c r="T28" s="86">
        <f>IF(ISNUMBER(SMALL(Simulation!$G$12:Simulation!$H$26,17)),SMALL(Simulation!$G$12:Simulation!$H$26,17),1)</f>
        <v>1</v>
      </c>
      <c r="U28" s="86">
        <f>IF(ISNUMBER(SMALL(Simulation!$I$12:Simulation!$J$26,17)),SMALL(Simulation!$I$12:Simulation!$J$26,17),1)</f>
        <v>1</v>
      </c>
      <c r="V28" s="86">
        <f>IF(ISNUMBER(SMALL(Simulation!$K$12:Simulation!$L$26,17)),SMALL(Simulation!$K$12:Simulation!$L$26,17),1)</f>
        <v>1</v>
      </c>
      <c r="W28" s="86">
        <f>IF(ISNUMBER(SMALL(Simulation!$M$12:Simulation!$N$26,17)),SMALL(Simulation!$M$12:Simulation!$N$26,17),1)</f>
        <v>1</v>
      </c>
      <c r="X28" s="86">
        <f>IF(ISNUMBER(SMALL(Simulation!$O$12:Simulation!$P$26,17)),SMALL(Simulation!$O$12:Simulation!$P$26,17),1)</f>
        <v>1</v>
      </c>
    </row>
    <row r="29" spans="20:24" ht="12.75">
      <c r="T29" s="86">
        <f>IF(ISNUMBER(SMALL(Simulation!$G$12:Simulation!$H$26,18)),SMALL(Simulation!$G$12:Simulation!$H$26,18),1)</f>
        <v>1</v>
      </c>
      <c r="U29" s="86">
        <f>IF(ISNUMBER(SMALL(Simulation!$I$12:Simulation!$J$26,18)),SMALL(Simulation!$I$12:Simulation!$J$26,18),1)</f>
        <v>1</v>
      </c>
      <c r="V29" s="86">
        <f>IF(ISNUMBER(SMALL(Simulation!$K$12:Simulation!$L$26,18)),SMALL(Simulation!$K$12:Simulation!$L$26,18),1)</f>
        <v>1</v>
      </c>
      <c r="W29" s="86">
        <f>IF(ISNUMBER(SMALL(Simulation!$M$12:Simulation!$N$26,18)),SMALL(Simulation!$M$12:Simulation!$N$26,18),1)</f>
        <v>1</v>
      </c>
      <c r="X29" s="86">
        <f>IF(ISNUMBER(SMALL(Simulation!$O$12:Simulation!$P$26,18)),SMALL(Simulation!$O$12:Simulation!$P$26,18),1)</f>
        <v>1</v>
      </c>
    </row>
    <row r="30" spans="20:24" ht="12.75">
      <c r="T30" s="86">
        <f>IF(ISNUMBER(SMALL(Simulation!$G$12:Simulation!$H$26,19)),SMALL(Simulation!$G$12:Simulation!$H$26,19),1)</f>
        <v>1</v>
      </c>
      <c r="U30" s="86">
        <f>IF(ISNUMBER(SMALL(Simulation!$I$12:Simulation!$J$26,19)),SMALL(Simulation!$I$12:Simulation!$J$26,19),1)</f>
        <v>1</v>
      </c>
      <c r="V30" s="86">
        <f>IF(ISNUMBER(SMALL(Simulation!$K$12:Simulation!$L$26,19)),SMALL(Simulation!$K$12:Simulation!$L$26,19),1)</f>
        <v>1</v>
      </c>
      <c r="W30" s="86">
        <f>IF(ISNUMBER(SMALL(Simulation!$M$12:Simulation!$N$26,19)),SMALL(Simulation!$M$12:Simulation!$N$26,19),1)</f>
        <v>1</v>
      </c>
      <c r="X30" s="86">
        <f>IF(ISNUMBER(SMALL(Simulation!$O$12:Simulation!$P$26,19)),SMALL(Simulation!$O$12:Simulation!$P$26,19),1)</f>
        <v>1</v>
      </c>
    </row>
    <row r="31" spans="20:24" ht="12.75">
      <c r="T31" s="86">
        <f>IF(ISNUMBER(SMALL(Simulation!$G$12:Simulation!$H$26,20)),SMALL(Simulation!$G$12:Simulation!$H$26,20),1)</f>
        <v>1</v>
      </c>
      <c r="U31" s="86">
        <f>IF(ISNUMBER(SMALL(Simulation!$I$12:Simulation!$J$26,20)),SMALL(Simulation!$I$12:Simulation!$J$26,20),1)</f>
        <v>1</v>
      </c>
      <c r="V31" s="86">
        <f>IF(ISNUMBER(SMALL(Simulation!$K$12:Simulation!$L$26,20)),SMALL(Simulation!$K$12:Simulation!$L$26,20),1)</f>
        <v>1</v>
      </c>
      <c r="W31" s="86">
        <f>IF(ISNUMBER(SMALL(Simulation!$M$12:Simulation!$N$26,20)),SMALL(Simulation!$M$12:Simulation!$N$26,20),1)</f>
        <v>1</v>
      </c>
      <c r="X31" s="86">
        <f>IF(ISNUMBER(SMALL(Simulation!$O$12:Simulation!$P$26,20)),SMALL(Simulation!$O$12:Simulation!$P$26,20),1)</f>
        <v>1</v>
      </c>
    </row>
    <row r="32" spans="20:24" ht="12.75">
      <c r="T32" s="86">
        <f>IF(ISNUMBER(SMALL(Simulation!$G$12:Simulation!$H$26,21)),SMALL(Simulation!$G$12:Simulation!$H$26,21),1)</f>
        <v>1</v>
      </c>
      <c r="U32" s="86">
        <f>IF(ISNUMBER(SMALL(Simulation!$I$12:Simulation!$J$26,21)),SMALL(Simulation!$I$12:Simulation!$J$26,21),1)</f>
        <v>1</v>
      </c>
      <c r="V32" s="86">
        <f>IF(ISNUMBER(SMALL(Simulation!$K$12:Simulation!$L$26,21)),SMALL(Simulation!$K$12:Simulation!$L$26,21),1)</f>
        <v>1</v>
      </c>
      <c r="W32" s="86">
        <f>IF(ISNUMBER(SMALL(Simulation!$M$12:Simulation!$N$26,21)),SMALL(Simulation!$M$12:Simulation!$N$26,21),1)</f>
        <v>1</v>
      </c>
      <c r="X32" s="86">
        <f>IF(ISNUMBER(SMALL(Simulation!$O$12:Simulation!$P$26,21)),SMALL(Simulation!$O$12:Simulation!$P$26,21),1)</f>
        <v>1</v>
      </c>
    </row>
    <row r="33" spans="20:24" ht="12.75">
      <c r="T33" s="86">
        <f>IF(ISNUMBER(SMALL(Simulation!$G$12:Simulation!$H$26,22)),SMALL(Simulation!$G$12:Simulation!$H$26,22),1)</f>
        <v>1</v>
      </c>
      <c r="U33" s="86">
        <f>IF(ISNUMBER(SMALL(Simulation!$I$12:Simulation!$J$26,22)),SMALL(Simulation!$I$12:Simulation!$J$26,22),1)</f>
        <v>1</v>
      </c>
      <c r="V33" s="86">
        <f>IF(ISNUMBER(SMALL(Simulation!$K$12:Simulation!$L$26,22)),SMALL(Simulation!$K$12:Simulation!$L$26,22),1)</f>
        <v>1</v>
      </c>
      <c r="W33" s="86">
        <f>IF(ISNUMBER(SMALL(Simulation!$M$12:Simulation!$N$26,22)),SMALL(Simulation!$M$12:Simulation!$N$26,22),1)</f>
        <v>1</v>
      </c>
      <c r="X33" s="86">
        <f>IF(ISNUMBER(SMALL(Simulation!$O$12:Simulation!$P$26,22)),SMALL(Simulation!$O$12:Simulation!$P$26,22),1)</f>
        <v>1</v>
      </c>
    </row>
    <row r="34" spans="20:24" ht="12.75">
      <c r="T34" s="86">
        <f>IF(ISNUMBER(SMALL(Simulation!$G$12:Simulation!$H$26,23)),SMALL(Simulation!$G$12:Simulation!$H$26,23),1)</f>
        <v>1</v>
      </c>
      <c r="U34" s="86">
        <f>IF(ISNUMBER(SMALL(Simulation!$I$12:Simulation!$J$26,23)),SMALL(Simulation!$I$12:Simulation!$J$26,23),1)</f>
        <v>1</v>
      </c>
      <c r="V34" s="86">
        <f>IF(ISNUMBER(SMALL(Simulation!$K$12:Simulation!$L$26,23)),SMALL(Simulation!$K$12:Simulation!$L$26,23),1)</f>
        <v>1</v>
      </c>
      <c r="W34" s="86">
        <f>IF(ISNUMBER(SMALL(Simulation!$M$12:Simulation!$N$26,23)),SMALL(Simulation!$M$12:Simulation!$N$26,23),1)</f>
        <v>1</v>
      </c>
      <c r="X34" s="86">
        <f>IF(ISNUMBER(SMALL(Simulation!$O$12:Simulation!$P$26,23)),SMALL(Simulation!$O$12:Simulation!$P$26,23),1)</f>
        <v>1</v>
      </c>
    </row>
    <row r="35" spans="20:24" ht="12.75">
      <c r="T35" s="86">
        <f>IF(ISNUMBER(SMALL(Simulation!$G$12:Simulation!$H$26,24)),SMALL(Simulation!$G$12:Simulation!$H$26,24),1)</f>
        <v>1</v>
      </c>
      <c r="U35" s="86">
        <f>IF(ISNUMBER(SMALL(Simulation!$I$12:Simulation!$J$26,24)),SMALL(Simulation!$I$12:Simulation!$J$26,24),1)</f>
        <v>1</v>
      </c>
      <c r="V35" s="86">
        <f>IF(ISNUMBER(SMALL(Simulation!$K$12:Simulation!$L$26,24)),SMALL(Simulation!$K$12:Simulation!$L$26,24),1)</f>
        <v>1</v>
      </c>
      <c r="W35" s="86">
        <f>IF(ISNUMBER(SMALL(Simulation!$M$12:Simulation!$N$26,24)),SMALL(Simulation!$M$12:Simulation!$N$26,24),1)</f>
        <v>1</v>
      </c>
      <c r="X35" s="86">
        <f>IF(ISNUMBER(SMALL(Simulation!$O$12:Simulation!$P$26,24)),SMALL(Simulation!$O$12:Simulation!$P$26,24),1)</f>
        <v>1</v>
      </c>
    </row>
    <row r="36" spans="20:24" ht="12.75">
      <c r="T36" s="86">
        <f>IF(ISNUMBER(SMALL(Simulation!$G$12:Simulation!$H$26,25)),SMALL(Simulation!$G$12:Simulation!$H$26,25),1)</f>
        <v>1</v>
      </c>
      <c r="U36" s="86">
        <f>IF(ISNUMBER(SMALL(Simulation!$I$12:Simulation!$J$26,25)),SMALL(Simulation!$I$12:Simulation!$J$26,25),1)</f>
        <v>1</v>
      </c>
      <c r="V36" s="86">
        <f>IF(ISNUMBER(SMALL(Simulation!$K$12:Simulation!$L$26,25)),SMALL(Simulation!$K$12:Simulation!$L$26,25),1)</f>
        <v>1</v>
      </c>
      <c r="W36" s="86">
        <f>IF(ISNUMBER(SMALL(Simulation!$M$12:Simulation!$N$26,25)),SMALL(Simulation!$M$12:Simulation!$N$26,25),1)</f>
        <v>1</v>
      </c>
      <c r="X36" s="86">
        <f>IF(ISNUMBER(SMALL(Simulation!$O$12:Simulation!$P$26,25)),SMALL(Simulation!$O$12:Simulation!$P$26,25),1)</f>
        <v>1</v>
      </c>
    </row>
    <row r="37" spans="20:24" ht="12.75">
      <c r="T37" s="86">
        <f>IF(ISNUMBER(SMALL(Simulation!$G$12:Simulation!$H$26,26)),SMALL(Simulation!$G$12:Simulation!$H$26,26),1)</f>
        <v>1</v>
      </c>
      <c r="U37" s="86">
        <f>IF(ISNUMBER(SMALL(Simulation!$I$12:Simulation!$J$26,26)),SMALL(Simulation!$I$12:Simulation!$J$26,26),1)</f>
        <v>1</v>
      </c>
      <c r="V37" s="86">
        <f>IF(ISNUMBER(SMALL(Simulation!$K$12:Simulation!$L$26,26)),SMALL(Simulation!$K$12:Simulation!$L$26,26),1)</f>
        <v>1</v>
      </c>
      <c r="W37" s="86">
        <f>IF(ISNUMBER(SMALL(Simulation!$M$12:Simulation!$N$26,26)),SMALL(Simulation!$M$12:Simulation!$N$26,26),1)</f>
        <v>1</v>
      </c>
      <c r="X37" s="86">
        <f>IF(ISNUMBER(SMALL(Simulation!$O$12:Simulation!$P$26,26)),SMALL(Simulation!$O$12:Simulation!$P$26,26),1)</f>
        <v>1</v>
      </c>
    </row>
    <row r="38" spans="20:24" ht="12.75">
      <c r="T38" s="86">
        <f>IF(ISNUMBER(SMALL(Simulation!$G$12:Simulation!$H$26,27)),SMALL(Simulation!$G$12:Simulation!$H$26,27),1)</f>
        <v>1</v>
      </c>
      <c r="U38" s="86">
        <f>IF(ISNUMBER(SMALL(Simulation!$I$12:Simulation!$J$26,27)),SMALL(Simulation!$I$12:Simulation!$J$26,27),1)</f>
        <v>1</v>
      </c>
      <c r="V38" s="86">
        <f>IF(ISNUMBER(SMALL(Simulation!$K$12:Simulation!$L$26,27)),SMALL(Simulation!$K$12:Simulation!$L$26,27),1)</f>
        <v>1</v>
      </c>
      <c r="W38" s="86">
        <f>IF(ISNUMBER(SMALL(Simulation!$M$12:Simulation!$N$26,27)),SMALL(Simulation!$M$12:Simulation!$N$26,27),1)</f>
        <v>1</v>
      </c>
      <c r="X38" s="86">
        <f>IF(ISNUMBER(SMALL(Simulation!$O$12:Simulation!$P$26,27)),SMALL(Simulation!$O$12:Simulation!$P$26,27),1)</f>
        <v>1</v>
      </c>
    </row>
    <row r="39" spans="20:24" ht="12.75">
      <c r="T39" s="86">
        <f>IF(ISNUMBER(SMALL(Simulation!$G$12:Simulation!$H$26,28)),SMALL(Simulation!$G$12:Simulation!$H$26,28),1)</f>
        <v>1</v>
      </c>
      <c r="U39" s="86">
        <f>IF(ISNUMBER(SMALL(Simulation!$I$12:Simulation!$J$26,28)),SMALL(Simulation!$I$12:Simulation!$J$26,28),1)</f>
        <v>1</v>
      </c>
      <c r="V39" s="86">
        <f>IF(ISNUMBER(SMALL(Simulation!$K$12:Simulation!$L$26,28)),SMALL(Simulation!$K$12:Simulation!$L$26,28),1)</f>
        <v>1</v>
      </c>
      <c r="W39" s="86">
        <f>IF(ISNUMBER(SMALL(Simulation!$M$12:Simulation!$N$26,28)),SMALL(Simulation!$M$12:Simulation!$N$26,28),1)</f>
        <v>1</v>
      </c>
      <c r="X39" s="86">
        <f>IF(ISNUMBER(SMALL(Simulation!$O$12:Simulation!$P$26,28)),SMALL(Simulation!$O$12:Simulation!$P$26,28),1)</f>
        <v>1</v>
      </c>
    </row>
    <row r="40" spans="20:24" ht="12.75">
      <c r="T40" s="86">
        <f>IF(ISNUMBER(SMALL(Simulation!$G$12:Simulation!$H$26,29)),SMALL(Simulation!$G$12:Simulation!$H$26,29),1)</f>
        <v>1</v>
      </c>
      <c r="U40" s="86">
        <f>IF(ISNUMBER(SMALL(Simulation!$I$12:Simulation!$J$26,29)),SMALL(Simulation!$I$12:Simulation!$J$26,29),1)</f>
        <v>1</v>
      </c>
      <c r="V40" s="86">
        <f>IF(ISNUMBER(SMALL(Simulation!$K$12:Simulation!$L$26,29)),SMALL(Simulation!$K$12:Simulation!$L$26,29),1)</f>
        <v>1</v>
      </c>
      <c r="W40" s="86">
        <f>IF(ISNUMBER(SMALL(Simulation!$M$12:Simulation!$N$26,29)),SMALL(Simulation!$M$12:Simulation!$N$26,29),1)</f>
        <v>1</v>
      </c>
      <c r="X40" s="86">
        <f>IF(ISNUMBER(SMALL(Simulation!$O$12:Simulation!$P$26,29)),SMALL(Simulation!$O$12:Simulation!$P$26,29),1)</f>
        <v>1</v>
      </c>
    </row>
    <row r="41" spans="20:24" ht="12.75">
      <c r="T41" s="86">
        <f>IF(ISNUMBER(SMALL(Simulation!$G$12:Simulation!$H$26,30)),SMALL(Simulation!$G$12:Simulation!$H$26,30),1)</f>
        <v>1</v>
      </c>
      <c r="U41" s="86">
        <f>IF(ISNUMBER(SMALL(Simulation!$I$12:Simulation!$J$26,30)),SMALL(Simulation!$I$12:Simulation!$J$26,30),1)</f>
        <v>1</v>
      </c>
      <c r="V41" s="86">
        <f>IF(ISNUMBER(SMALL(Simulation!$K$12:Simulation!$L$26,30)),SMALL(Simulation!$K$12:Simulation!$L$26,30),1)</f>
        <v>1</v>
      </c>
      <c r="W41" s="86">
        <f>IF(ISNUMBER(SMALL(Simulation!$M$12:Simulation!$N$26,30)),SMALL(Simulation!$M$12:Simulation!$N$26,30),1)</f>
        <v>1</v>
      </c>
      <c r="X41" s="86">
        <f>IF(ISNUMBER(SMALL(Simulation!$O$12:Simulation!$P$26,30)),SMALL(Simulation!$O$12:Simulation!$P$26,30),1)</f>
        <v>1</v>
      </c>
    </row>
  </sheetData>
  <printOptions gridLines="1" headings="1"/>
  <pageMargins left="0.25" right="0.25" top="1" bottom="1" header="0.5" footer="0.5"/>
  <pageSetup horizontalDpi="360" verticalDpi="3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71" t="s">
        <v>80</v>
      </c>
    </row>
    <row r="2" ht="15.75">
      <c r="A2" s="72" t="s">
        <v>49</v>
      </c>
    </row>
    <row r="3" ht="12.75" customHeight="1">
      <c r="B3" s="73" t="s">
        <v>50</v>
      </c>
    </row>
    <row r="4" ht="12.75" customHeight="1">
      <c r="B4" s="73"/>
    </row>
    <row r="5" ht="12.75">
      <c r="A5" s="74" t="s">
        <v>51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10" ht="12.75">
      <c r="A10" s="74" t="s">
        <v>55</v>
      </c>
    </row>
    <row r="11" ht="12.75">
      <c r="A11" t="s">
        <v>56</v>
      </c>
    </row>
    <row r="12" ht="12.75">
      <c r="A12" t="s">
        <v>81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82</v>
      </c>
    </row>
    <row r="19" ht="12.75">
      <c r="A19" t="s">
        <v>83</v>
      </c>
    </row>
    <row r="20" ht="12.75">
      <c r="A20" t="s">
        <v>62</v>
      </c>
    </row>
    <row r="22" ht="12.75">
      <c r="A22" s="74" t="s">
        <v>63</v>
      </c>
    </row>
    <row r="23" ht="12.75">
      <c r="A23" t="s">
        <v>84</v>
      </c>
    </row>
    <row r="24" ht="12.75">
      <c r="A24" t="s">
        <v>85</v>
      </c>
    </row>
    <row r="25" ht="12.75">
      <c r="A25" t="s">
        <v>81</v>
      </c>
    </row>
    <row r="26" ht="12.75">
      <c r="A26" t="s">
        <v>64</v>
      </c>
    </row>
    <row r="27" ht="12.75">
      <c r="A27" t="s">
        <v>65</v>
      </c>
    </row>
    <row r="29" ht="12.75">
      <c r="A29" s="74" t="s">
        <v>66</v>
      </c>
    </row>
    <row r="30" ht="12.75">
      <c r="A30" t="s">
        <v>67</v>
      </c>
    </row>
    <row r="31" ht="12.75">
      <c r="A31" t="s">
        <v>68</v>
      </c>
    </row>
    <row r="32" ht="12.75">
      <c r="A32" t="s">
        <v>69</v>
      </c>
    </row>
    <row r="34" ht="12.75">
      <c r="A34" s="74" t="s">
        <v>70</v>
      </c>
    </row>
    <row r="35" ht="12.75">
      <c r="A35" t="s">
        <v>86</v>
      </c>
    </row>
    <row r="36" ht="12.75">
      <c r="A36" t="s">
        <v>71</v>
      </c>
    </row>
    <row r="37" ht="12.75">
      <c r="A37" t="s">
        <v>72</v>
      </c>
    </row>
    <row r="38" ht="12.75">
      <c r="A38" t="s">
        <v>73</v>
      </c>
    </row>
    <row r="39" ht="12.75">
      <c r="A39" t="s">
        <v>87</v>
      </c>
    </row>
    <row r="40" ht="12.75">
      <c r="A40" t="s">
        <v>88</v>
      </c>
    </row>
    <row r="41" ht="12.75">
      <c r="A41" t="s">
        <v>89</v>
      </c>
    </row>
    <row r="43" ht="12.75">
      <c r="A43" s="74" t="s">
        <v>74</v>
      </c>
    </row>
    <row r="44" ht="12.75">
      <c r="A44" t="s">
        <v>90</v>
      </c>
    </row>
    <row r="45" ht="12.75">
      <c r="A45" t="s">
        <v>75</v>
      </c>
    </row>
    <row r="46" ht="12.75">
      <c r="A46" t="s">
        <v>76</v>
      </c>
    </row>
    <row r="47" ht="12.75">
      <c r="A47" t="s">
        <v>77</v>
      </c>
    </row>
    <row r="48" ht="12.75">
      <c r="A48" t="s">
        <v>78</v>
      </c>
    </row>
    <row r="50" ht="12.75">
      <c r="A50" s="74" t="s">
        <v>79</v>
      </c>
    </row>
    <row r="51" ht="12.75">
      <c r="A51" t="s">
        <v>91</v>
      </c>
    </row>
    <row r="52" ht="12.75">
      <c r="A52" t="s">
        <v>92</v>
      </c>
    </row>
    <row r="54" ht="12.75">
      <c r="A54" s="81" t="s">
        <v>93</v>
      </c>
    </row>
    <row r="55" ht="12.75">
      <c r="A55" t="s">
        <v>94</v>
      </c>
    </row>
    <row r="56" ht="12.75">
      <c r="A56" t="s">
        <v>95</v>
      </c>
    </row>
    <row r="57" ht="12.75">
      <c r="A57" t="s">
        <v>96</v>
      </c>
    </row>
    <row r="58" ht="12.75">
      <c r="A58" t="s">
        <v>97</v>
      </c>
    </row>
    <row r="60" ht="12.75">
      <c r="A60" s="75" t="s">
        <v>98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2001-09-17T14:43:54Z</dcterms:created>
  <dcterms:modified xsi:type="dcterms:W3CDTF">2001-09-17T14:44:11Z</dcterms:modified>
  <cp:category/>
  <cp:version/>
  <cp:contentType/>
  <cp:contentStatus/>
</cp:coreProperties>
</file>