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renege_time">'Computations'!$E$2</definedName>
    <definedName name="Renege_time_nonserial">'Data'!$E$4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<sst xmlns="http://schemas.openxmlformats.org/spreadsheetml/2006/main" count="159" uniqueCount="98">
  <si>
    <t>Spreadsheet Simulation Queueing Engine:  2 Servers with Reneging</t>
  </si>
  <si>
    <t>Start Time</t>
  </si>
  <si>
    <t>Close Time</t>
  </si>
  <si>
    <t>Renege if waiting time exceeds</t>
  </si>
  <si>
    <t>minutes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</si>
  <si>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</si>
  <si>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</si>
  <si>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</si>
  <si>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</si>
  <si>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</si>
  <si>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</si>
  <si>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</si>
  <si>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</si>
  <si>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</si>
  <si>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</si>
  <si>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</si>
  <si>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</si>
  <si>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</si>
  <si>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Interarrival</t>
  </si>
  <si>
    <t>Arrival</t>
  </si>
  <si>
    <t>Renege</t>
  </si>
  <si>
    <t xml:space="preserve">Server #1 </t>
  </si>
  <si>
    <t>Server #2</t>
  </si>
  <si>
    <t>Wait</t>
  </si>
  <si>
    <t>Total</t>
  </si>
  <si>
    <t>#</t>
  </si>
  <si>
    <t>Renege?</t>
  </si>
  <si>
    <t>Depart</t>
  </si>
  <si>
    <t>Start</t>
  </si>
  <si>
    <t>End</t>
  </si>
  <si>
    <t>Wait Time</t>
  </si>
  <si>
    <t>(hr:min)</t>
  </si>
  <si>
    <t>start</t>
  </si>
  <si>
    <t>Renege time serial (Named "renege_time")</t>
  </si>
  <si>
    <t>Potential</t>
  </si>
  <si>
    <t xml:space="preserve">Service </t>
  </si>
  <si>
    <t>#1 Start</t>
  </si>
  <si>
    <t>#2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</si>
  <si>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</si>
  <si>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</si>
  <si>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</si>
  <si>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</si>
  <si>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</si>
  <si>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</si>
  <si>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</si>
  <si>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</si>
  <si>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</si>
  <si>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</si>
  <si>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</si>
  <si>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</si>
  <si>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</si>
  <si>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</si>
  <si>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</si>
  <si>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</si>
  <si>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</si>
  <si>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</si>
  <si>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</si>
  <si>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</si>
  <si>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</si>
  <si>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</si>
  <si>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</si>
  <si>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</si>
  <si>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</si>
  <si>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</si>
  <si>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</si>
  <si>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</si>
  <si>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</si>
  <si>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</si>
  <si>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</si>
  <si>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</si>
  <si>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</si>
  <si>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</si>
  <si>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</si>
  <si>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</si>
  <si>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</si>
  <si>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</si>
  <si>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</si>
  <si>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</si>
  <si>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</si>
  <si>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</si>
  <si>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</si>
  <si>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</si>
  <si>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</si>
  <si>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</si>
  <si>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</si>
  <si>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</si>
  <si>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</si>
  <si>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</si>
  <si>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</si>
  <si>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</si>
  <si>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</si>
  <si>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</si>
  <si>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</si>
  <si>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Reneges)</t>
  </si>
  <si>
    <t>Aggregate</t>
  </si>
  <si>
    <t>Time of Change in Server Activity</t>
  </si>
  <si>
    <t>Server 1</t>
  </si>
  <si>
    <t>Server 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</si>
</sst>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20" fontId="0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20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Computations!$Q$41:$R$41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Computations!$Q$40:$R$40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Computations!$Q$39:$R$39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Computations!$Q$38:$R$38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Computations!$Q$37:$R$37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Computations!$Q$36:$R$36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Computations!$Q$35:$R$35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Computations!$Q$34:$R$34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Computations!$Q$33:$R$33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Computations!$Q$32:$R$32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Computations!$Q$31:$R$31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Computations!$Q$30:$R$30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Computations!$Q$29:$R$29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Computations!$Q$28:$R$28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Computations!$Q$27:$R$27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Computations!$Q$26:$R$26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Computations!$Q$25:$R$25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Computations!$Q$24:$R$24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Computations!$Q$23:$R$23</c:f>
              <c:numCache>
                <c:ptCount val="2"/>
                <c:pt idx="0">
                  <c:v>0.4027777777777777</c:v>
                </c:pt>
                <c:pt idx="1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Computations!$Q$22:$R$22</c:f>
              <c:numCache>
                <c:ptCount val="2"/>
                <c:pt idx="0">
                  <c:v>0.3965277777777777</c:v>
                </c:pt>
                <c:pt idx="1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Computations!$Q$21:$R$21</c:f>
              <c:numCache>
                <c:ptCount val="2"/>
                <c:pt idx="0">
                  <c:v>0.3965277777777777</c:v>
                </c:pt>
                <c:pt idx="1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Computations!$Q$20:$R$20</c:f>
              <c:numCache>
                <c:ptCount val="2"/>
                <c:pt idx="0">
                  <c:v>0.39236111111111105</c:v>
                </c:pt>
                <c:pt idx="1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Computations!$Q$19:$R$19</c:f>
              <c:numCache>
                <c:ptCount val="2"/>
                <c:pt idx="0">
                  <c:v>0.39236111111111105</c:v>
                </c:pt>
                <c:pt idx="1">
                  <c:v>0.4013888888888888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Computations!$Q$18:$R$18</c:f>
              <c:numCache>
                <c:ptCount val="2"/>
                <c:pt idx="0">
                  <c:v>0.3902777777777777</c:v>
                </c:pt>
                <c:pt idx="1">
                  <c:v>0.3951388888888888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Computations!$Q$17:$R$17</c:f>
              <c:numCache>
                <c:ptCount val="2"/>
                <c:pt idx="0">
                  <c:v>0.3895833333333333</c:v>
                </c:pt>
                <c:pt idx="1">
                  <c:v>0.39374999999999993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Computations!$Q$16:$R$16</c:f>
              <c:numCache>
                <c:ptCount val="2"/>
                <c:pt idx="0">
                  <c:v>0.3833333333333333</c:v>
                </c:pt>
                <c:pt idx="1">
                  <c:v>0.3916666666666666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Computations!$Q$15:$R$15</c:f>
              <c:numCache>
                <c:ptCount val="2"/>
                <c:pt idx="0">
                  <c:v>0.38263888888888886</c:v>
                </c:pt>
                <c:pt idx="1">
                  <c:v>0.3916666666666666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Computations!$Q$14:$R$14</c:f>
              <c:numCache>
                <c:ptCount val="2"/>
                <c:pt idx="0">
                  <c:v>0.38055555555555554</c:v>
                </c:pt>
                <c:pt idx="1">
                  <c:v>0.38749999999999996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Computations!$Q$13:$R$13</c:f>
              <c:numCache>
                <c:ptCount val="2"/>
                <c:pt idx="0">
                  <c:v>0.37916666666666665</c:v>
                </c:pt>
                <c:pt idx="1">
                  <c:v>0.38749999999999996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Computations!$Q$11:$R$11</c:f>
              <c:strCache>
                <c:ptCount val="2"/>
                <c:pt idx="0">
                  <c:v>Server 1</c:v>
                </c:pt>
                <c:pt idx="1">
                  <c:v>Server 2</c:v>
                </c:pt>
              </c:strCache>
            </c:strRef>
          </c:cat>
          <c:val>
            <c:numRef>
              <c:f>Computations!$Q$12:$R$12</c:f>
              <c:numCache>
                <c:ptCount val="2"/>
                <c:pt idx="0">
                  <c:v>0.3770833333333333</c:v>
                </c:pt>
                <c:pt idx="1">
                  <c:v>0.38125</c:v>
                </c:pt>
              </c:numCache>
            </c:numRef>
          </c:val>
        </c:ser>
        <c:overlap val="100"/>
        <c:axId val="11199469"/>
        <c:axId val="33686358"/>
      </c:barChart>
      <c:catAx>
        <c:axId val="1119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686358"/>
        <c:crosses val="autoZero"/>
        <c:auto val="1"/>
        <c:lblOffset val="100"/>
        <c:noMultiLvlLbl val="0"/>
      </c:catAx>
      <c:valAx>
        <c:axId val="33686358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199469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0.3770833333333333</c:v>
                </c:pt>
                <c:pt idx="1">
                  <c:v>0.38055555555555554</c:v>
                </c:pt>
                <c:pt idx="2">
                  <c:v>0.38125</c:v>
                </c:pt>
                <c:pt idx="3">
                  <c:v>0.3833333333333333</c:v>
                </c:pt>
                <c:pt idx="4">
                  <c:v>0.38402777777777775</c:v>
                </c:pt>
                <c:pt idx="5">
                  <c:v>0.38611111111111107</c:v>
                </c:pt>
                <c:pt idx="6">
                  <c:v>0.3868055555555555</c:v>
                </c:pt>
                <c:pt idx="7">
                  <c:v>0.3902777777777777</c:v>
                </c:pt>
                <c:pt idx="8">
                  <c:v>0.39097222222222217</c:v>
                </c:pt>
                <c:pt idx="9">
                  <c:v>0.3916666666666666</c:v>
                </c:pt>
                <c:pt idx="10">
                  <c:v>0.3951388888888888</c:v>
                </c:pt>
                <c:pt idx="11">
                  <c:v>0.39583333333333326</c:v>
                </c:pt>
                <c:pt idx="12">
                  <c:v>0.3965277777777777</c:v>
                </c:pt>
                <c:pt idx="13">
                  <c:v>0.39722222222222214</c:v>
                </c:pt>
                <c:pt idx="14">
                  <c:v>0.3979166666666666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Computations!$O$12:$O$26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0.001388888888888884</c:v>
                </c:pt>
                <c:pt idx="5">
                  <c:v>0.001388888888888884</c:v>
                </c:pt>
                <c:pt idx="6">
                  <c:v>0.001388888888888884</c:v>
                </c:pt>
                <c:pt idx="7">
                  <c:v>0</c:v>
                </c:pt>
                <c:pt idx="8">
                  <c:v>0.000694444444444442</c:v>
                </c:pt>
                <c:pt idx="9">
                  <c:v>0.000694444444444442</c:v>
                </c:pt>
                <c:pt idx="10">
                  <c:v>0</c:v>
                </c:pt>
                <c:pt idx="11">
                  <c:v>0.000694444444444442</c:v>
                </c:pt>
                <c:pt idx="12">
                  <c:v>0.001388888888888884</c:v>
                </c:pt>
                <c:pt idx="13">
                  <c:v>0.001388888888888884</c:v>
                </c:pt>
                <c:pt idx="14">
                  <c:v>0.001388888888888884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Computations!$N$12:$N$26</c:f>
              <c:numCache>
                <c:ptCount val="15"/>
                <c:pt idx="0">
                  <c:v>0.0020833333333333333</c:v>
                </c:pt>
                <c:pt idx="1">
                  <c:v>0.0020833333333333333</c:v>
                </c:pt>
                <c:pt idx="2">
                  <c:v>0.00625</c:v>
                </c:pt>
                <c:pt idx="3">
                  <c:v>0.00625</c:v>
                </c:pt>
                <c:pt idx="4">
                  <c:v>0</c:v>
                </c:pt>
                <c:pt idx="5">
                  <c:v>0.004166666666666667</c:v>
                </c:pt>
                <c:pt idx="6">
                  <c:v>0</c:v>
                </c:pt>
                <c:pt idx="7">
                  <c:v>0.0020833333333333333</c:v>
                </c:pt>
                <c:pt idx="8">
                  <c:v>0.0020833333333333333</c:v>
                </c:pt>
                <c:pt idx="9">
                  <c:v>0.004166666666666667</c:v>
                </c:pt>
                <c:pt idx="10">
                  <c:v>0.00625</c:v>
                </c:pt>
                <c:pt idx="11">
                  <c:v>0.00625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0"/>
        <c:axId val="34741767"/>
        <c:axId val="44240448"/>
      </c:barChart>
      <c:catAx>
        <c:axId val="347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40448"/>
        <c:crosses val="autoZero"/>
        <c:auto val="1"/>
        <c:lblOffset val="100"/>
        <c:noMultiLvlLbl val="0"/>
      </c:catAx>
      <c:valAx>
        <c:axId val="44240448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41767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27</xdr:row>
      <xdr:rowOff>114300</xdr:rowOff>
    </xdr:from>
    <xdr:to>
      <xdr:col>20</xdr:col>
      <xdr:colOff>571500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6172200" y="4495800"/>
        <a:ext cx="62198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114300</xdr:rowOff>
    </xdr:from>
    <xdr:to>
      <xdr:col>10</xdr:col>
      <xdr:colOff>38100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4495800"/>
        <a:ext cx="62198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2">
      <selection activeCell="D36" sqref="D36"/>
    </sheetView>
  </sheetViews>
  <sheetFormatPr defaultColWidth="9.140625" defaultRowHeight="12.75"/>
  <cols>
    <col min="1" max="1" width="10.7109375" style="3" customWidth="1"/>
    <col min="2" max="3" width="8.8515625" style="3" customWidth="1"/>
    <col min="4" max="4" width="12.140625" style="3" customWidth="1"/>
    <col min="5" max="5" width="8.8515625" style="3" customWidth="1"/>
    <col min="6" max="6" width="12.00390625" style="3" customWidth="1"/>
    <col min="7" max="7" width="9.8515625" style="3" customWidth="1"/>
    <col min="8" max="8" width="9.7109375" style="3" customWidth="1"/>
    <col min="9" max="9" width="9.57421875" style="3" customWidth="1"/>
    <col min="10" max="255" width="8.8515625" style="3" customWidth="1"/>
    <col min="256" max="16384" width="9.140625" style="3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9" ht="16.5" thickBot="1">
      <c r="A2" s="1"/>
      <c r="B2" s="33" t="s">
        <v>0</v>
      </c>
      <c r="C2" s="34"/>
      <c r="D2" s="35"/>
      <c r="E2" s="35"/>
      <c r="F2" s="35"/>
      <c r="G2" s="35"/>
      <c r="H2" s="36"/>
      <c r="I2" s="36"/>
    </row>
    <row r="3" spans="1:7" ht="13.5" thickBot="1">
      <c r="A3" s="4" t="s">
        <v>1</v>
      </c>
      <c r="B3" s="1"/>
      <c r="C3" s="4" t="s">
        <v>2</v>
      </c>
      <c r="E3" s="5" t="s">
        <v>3</v>
      </c>
      <c r="F3" s="4"/>
      <c r="G3" s="2"/>
    </row>
    <row r="4" spans="1:6" ht="13.5" thickBot="1">
      <c r="A4" s="6">
        <v>0.375</v>
      </c>
      <c r="B4" s="1"/>
      <c r="C4" s="6">
        <v>0.4166666666666667</v>
      </c>
      <c r="E4" s="7">
        <v>2</v>
      </c>
      <c r="F4" s="8" t="s">
        <v>4</v>
      </c>
    </row>
    <row r="7" spans="1:9" ht="13.5" thickBot="1">
      <c r="A7" s="10" t="s">
        <v>5</v>
      </c>
      <c r="B7" s="10"/>
      <c r="C7" s="10"/>
      <c r="D7" s="10"/>
      <c r="E7" s="11"/>
      <c r="F7" s="12" t="s">
        <v>6</v>
      </c>
      <c r="G7" s="10"/>
      <c r="H7" s="10"/>
      <c r="I7" s="10"/>
    </row>
    <row r="8" spans="1:9" ht="12.75">
      <c r="A8" s="13"/>
      <c r="B8" s="14" t="s">
        <v>7</v>
      </c>
      <c r="C8" s="14" t="s">
        <v>8</v>
      </c>
      <c r="D8" s="15" t="s">
        <v>9</v>
      </c>
      <c r="E8" s="11"/>
      <c r="F8" s="13"/>
      <c r="G8" s="14" t="s">
        <v>10</v>
      </c>
      <c r="H8" s="14" t="s">
        <v>11</v>
      </c>
      <c r="I8" s="15" t="s">
        <v>12</v>
      </c>
    </row>
    <row r="9" spans="1:9" ht="12.75">
      <c r="A9" s="16" t="s">
        <v>13</v>
      </c>
      <c r="B9" s="17" t="s">
        <v>14</v>
      </c>
      <c r="C9" s="17" t="s">
        <v>14</v>
      </c>
      <c r="D9" s="18" t="s">
        <v>15</v>
      </c>
      <c r="E9" s="11"/>
      <c r="F9" s="16" t="s">
        <v>13</v>
      </c>
      <c r="G9" s="17" t="s">
        <v>14</v>
      </c>
      <c r="H9" s="17" t="s">
        <v>14</v>
      </c>
      <c r="I9" s="18" t="s">
        <v>15</v>
      </c>
    </row>
    <row r="10" spans="1:9" ht="13.5" thickBot="1">
      <c r="A10" s="19"/>
      <c r="B10" s="20"/>
      <c r="C10" s="20"/>
      <c r="D10" s="21" t="s">
        <v>16</v>
      </c>
      <c r="E10" s="11"/>
      <c r="F10" s="22"/>
      <c r="G10" s="20"/>
      <c r="H10" s="20"/>
      <c r="I10" s="21" t="s">
        <v>16</v>
      </c>
    </row>
    <row r="11" spans="1:9" ht="12.75">
      <c r="A11" s="23">
        <v>0.45</v>
      </c>
      <c r="B11" s="24">
        <v>0</v>
      </c>
      <c r="C11" s="37">
        <f>B11+A11</f>
        <v>0.45</v>
      </c>
      <c r="D11" s="25">
        <v>1</v>
      </c>
      <c r="E11" s="11"/>
      <c r="F11" s="23">
        <v>0.3</v>
      </c>
      <c r="G11" s="24">
        <v>0</v>
      </c>
      <c r="H11" s="37">
        <f>G11+F11</f>
        <v>0.3</v>
      </c>
      <c r="I11" s="25">
        <v>3</v>
      </c>
    </row>
    <row r="12" spans="1:9" ht="12.75">
      <c r="A12" s="23">
        <v>0.25</v>
      </c>
      <c r="B12" s="24">
        <f>C11</f>
        <v>0.45</v>
      </c>
      <c r="C12" s="37">
        <f>B12+A12</f>
        <v>0.7</v>
      </c>
      <c r="D12" s="25">
        <v>3</v>
      </c>
      <c r="E12" s="11"/>
      <c r="F12" s="23">
        <v>0.35</v>
      </c>
      <c r="G12" s="24">
        <f>H11</f>
        <v>0.3</v>
      </c>
      <c r="H12" s="37">
        <f>G12+F12</f>
        <v>0.6499999999999999</v>
      </c>
      <c r="I12" s="25">
        <v>6</v>
      </c>
    </row>
    <row r="13" spans="1:9" ht="13.5" thickBot="1">
      <c r="A13" s="23">
        <v>0.1</v>
      </c>
      <c r="B13" s="24">
        <f>C12</f>
        <v>0.7</v>
      </c>
      <c r="C13" s="37">
        <f>B13+A13</f>
        <v>0.7999999999999999</v>
      </c>
      <c r="D13" s="25">
        <v>5</v>
      </c>
      <c r="E13" s="11"/>
      <c r="F13" s="26">
        <v>0.35</v>
      </c>
      <c r="G13" s="27">
        <f>H12</f>
        <v>0.6499999999999999</v>
      </c>
      <c r="H13" s="38">
        <f>G13+F13</f>
        <v>0.9999999999999999</v>
      </c>
      <c r="I13" s="28">
        <v>9</v>
      </c>
    </row>
    <row r="14" spans="1:9" ht="13.5" thickBot="1">
      <c r="A14" s="26">
        <v>0.2</v>
      </c>
      <c r="B14" s="27">
        <f>C13</f>
        <v>0.7999999999999999</v>
      </c>
      <c r="C14" s="38">
        <f>B14+A14</f>
        <v>1</v>
      </c>
      <c r="D14" s="28">
        <v>10</v>
      </c>
      <c r="E14" s="11"/>
      <c r="F14" s="29"/>
      <c r="G14" s="29"/>
      <c r="H14" s="29"/>
      <c r="I14" s="29"/>
    </row>
    <row r="15" spans="1:9" ht="12.75">
      <c r="A15" s="29"/>
      <c r="B15" s="29"/>
      <c r="C15" s="30"/>
      <c r="D15" s="29"/>
      <c r="E15" s="11"/>
      <c r="F15" s="29"/>
      <c r="G15" s="29"/>
      <c r="H15" s="29"/>
      <c r="I15" s="29"/>
    </row>
    <row r="16" spans="1:9" ht="12.75">
      <c r="A16" s="29"/>
      <c r="B16" s="29"/>
      <c r="C16" s="30"/>
      <c r="D16" s="29"/>
      <c r="E16" s="11"/>
      <c r="F16" s="29"/>
      <c r="G16" s="29"/>
      <c r="H16" s="29"/>
      <c r="I16" s="29"/>
    </row>
    <row r="17" spans="1:9" ht="12.75">
      <c r="A17" s="29"/>
      <c r="B17" s="29"/>
      <c r="C17" s="30"/>
      <c r="D17" s="29"/>
      <c r="E17" s="11"/>
      <c r="F17" s="29"/>
      <c r="G17" s="29"/>
      <c r="H17" s="29"/>
      <c r="I17" s="29"/>
    </row>
    <row r="18" spans="1:9" ht="12.75">
      <c r="A18" s="29"/>
      <c r="B18" s="29"/>
      <c r="C18" s="30"/>
      <c r="D18" s="29"/>
      <c r="E18" s="11"/>
      <c r="F18" s="29"/>
      <c r="G18" s="29"/>
      <c r="H18" s="29"/>
      <c r="I18" s="29"/>
    </row>
    <row r="19" spans="1:9" ht="12.75">
      <c r="A19" s="29"/>
      <c r="B19" s="29"/>
      <c r="C19" s="30"/>
      <c r="D19" s="29"/>
      <c r="E19" s="11"/>
      <c r="F19" s="29"/>
      <c r="G19" s="29"/>
      <c r="H19" s="29"/>
      <c r="I19" s="29"/>
    </row>
    <row r="20" spans="1:9" ht="12.75">
      <c r="A20" s="29"/>
      <c r="B20" s="29"/>
      <c r="C20" s="30"/>
      <c r="D20" s="29"/>
      <c r="F20" s="29"/>
      <c r="G20" s="29"/>
      <c r="H20" s="29"/>
      <c r="I20" s="29"/>
    </row>
    <row r="21" spans="1:5" ht="12.75">
      <c r="A21" s="9"/>
      <c r="B21" s="9"/>
      <c r="E21" s="31"/>
    </row>
    <row r="22" spans="1:7" ht="12.75">
      <c r="A22" s="9"/>
      <c r="B22" s="9"/>
      <c r="E22" s="31"/>
      <c r="G22" s="32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5"/>
  <sheetViews>
    <sheetView tabSelected="1" zoomScale="75" zoomScaleNormal="75" workbookViewId="0" topLeftCell="A7">
      <selection activeCell="B27" sqref="B27"/>
    </sheetView>
  </sheetViews>
  <sheetFormatPr defaultColWidth="9.140625" defaultRowHeight="12.75"/>
  <cols>
    <col min="1" max="1" width="6.8515625" style="1" customWidth="1"/>
    <col min="2" max="2" width="12.140625" style="50" customWidth="1"/>
    <col min="3" max="3" width="9.140625" style="1" customWidth="1"/>
    <col min="4" max="4" width="10.00390625" style="1" customWidth="1"/>
    <col min="5" max="5" width="9.140625" style="1" customWidth="1"/>
    <col min="6" max="6" width="8.8515625" style="2" customWidth="1"/>
    <col min="7" max="9" width="9.140625" style="2" customWidth="1"/>
    <col min="10" max="10" width="9.140625" style="1" customWidth="1"/>
    <col min="11" max="11" width="11.140625" style="1" customWidth="1"/>
    <col min="12" max="13" width="9.140625" style="1" customWidth="1"/>
    <col min="14" max="14" width="7.421875" style="1" customWidth="1"/>
    <col min="15" max="19" width="7.7109375" style="1" customWidth="1"/>
    <col min="20" max="20" width="9.140625" style="50" customWidth="1"/>
    <col min="21" max="21" width="9.140625" style="2" customWidth="1"/>
    <col min="22" max="16384" width="9.140625" style="1" customWidth="1"/>
  </cols>
  <sheetData>
    <row r="1" spans="1:21" ht="12.75">
      <c r="A1" s="3"/>
      <c r="B1" s="39"/>
      <c r="C1" s="3"/>
      <c r="D1" s="3"/>
      <c r="E1" s="3"/>
      <c r="F1" s="3"/>
      <c r="G1" s="3"/>
      <c r="H1" s="3"/>
      <c r="I1" s="3"/>
      <c r="T1" s="1"/>
      <c r="U1" s="1"/>
    </row>
    <row r="2" spans="1:21" ht="12.75">
      <c r="A2" s="3"/>
      <c r="B2" s="39"/>
      <c r="C2" s="3"/>
      <c r="D2" s="3"/>
      <c r="E2" s="3"/>
      <c r="F2" s="3"/>
      <c r="G2" s="3"/>
      <c r="H2" s="3"/>
      <c r="I2" s="3"/>
      <c r="T2" s="1"/>
      <c r="U2" s="1"/>
    </row>
    <row r="3" spans="1:21" ht="12.75">
      <c r="A3" s="3"/>
      <c r="B3" s="39"/>
      <c r="C3" s="3"/>
      <c r="D3" s="3"/>
      <c r="E3" s="3"/>
      <c r="F3" s="3"/>
      <c r="G3" s="3"/>
      <c r="H3" s="3"/>
      <c r="I3" s="3"/>
      <c r="T3" s="1"/>
      <c r="U3" s="1"/>
    </row>
    <row r="4" spans="1:21" ht="12.75">
      <c r="A4" s="3"/>
      <c r="B4" s="39"/>
      <c r="C4" s="3"/>
      <c r="D4" s="3"/>
      <c r="E4" s="3"/>
      <c r="F4" s="3"/>
      <c r="G4" s="3"/>
      <c r="H4" s="3"/>
      <c r="I4" s="3"/>
      <c r="T4" s="1"/>
      <c r="U4" s="1"/>
    </row>
    <row r="7" spans="1:13" s="40" customFormat="1" ht="12.75">
      <c r="A7" s="40" t="s">
        <v>17</v>
      </c>
      <c r="B7" s="41" t="s">
        <v>18</v>
      </c>
      <c r="C7" s="40" t="s">
        <v>19</v>
      </c>
      <c r="E7" s="40" t="s">
        <v>20</v>
      </c>
      <c r="F7" s="40" t="s">
        <v>12</v>
      </c>
      <c r="G7" s="42" t="s">
        <v>21</v>
      </c>
      <c r="H7" s="42"/>
      <c r="I7" s="42" t="s">
        <v>22</v>
      </c>
      <c r="J7" s="42"/>
      <c r="K7" s="42" t="s">
        <v>20</v>
      </c>
      <c r="L7" s="40" t="s">
        <v>23</v>
      </c>
      <c r="M7" s="40" t="s">
        <v>24</v>
      </c>
    </row>
    <row r="8" spans="1:13" s="40" customFormat="1" ht="12.75">
      <c r="A8" s="40" t="s">
        <v>25</v>
      </c>
      <c r="B8" s="41" t="s">
        <v>15</v>
      </c>
      <c r="C8" s="41" t="s">
        <v>15</v>
      </c>
      <c r="D8" s="40" t="s">
        <v>26</v>
      </c>
      <c r="E8" s="43" t="s">
        <v>27</v>
      </c>
      <c r="F8" s="40" t="s">
        <v>15</v>
      </c>
      <c r="G8" s="44" t="s">
        <v>28</v>
      </c>
      <c r="H8" s="44" t="s">
        <v>29</v>
      </c>
      <c r="I8" s="44" t="s">
        <v>28</v>
      </c>
      <c r="J8" s="44" t="s">
        <v>29</v>
      </c>
      <c r="K8" s="44" t="s">
        <v>30</v>
      </c>
      <c r="L8" s="43" t="s">
        <v>15</v>
      </c>
      <c r="M8" s="43" t="s">
        <v>15</v>
      </c>
    </row>
    <row r="9" spans="1:13" s="40" customFormat="1" ht="13.5" thickBot="1">
      <c r="A9" s="45"/>
      <c r="B9" s="46" t="s">
        <v>16</v>
      </c>
      <c r="C9" s="45" t="s">
        <v>31</v>
      </c>
      <c r="D9" s="45"/>
      <c r="E9" s="45" t="s">
        <v>31</v>
      </c>
      <c r="F9" s="45" t="s">
        <v>16</v>
      </c>
      <c r="G9" s="45" t="s">
        <v>31</v>
      </c>
      <c r="H9" s="45" t="s">
        <v>31</v>
      </c>
      <c r="I9" s="45" t="s">
        <v>31</v>
      </c>
      <c r="J9" s="45" t="s">
        <v>31</v>
      </c>
      <c r="K9" s="45" t="s">
        <v>31</v>
      </c>
      <c r="L9" s="45" t="s">
        <v>31</v>
      </c>
      <c r="M9" s="45" t="s">
        <v>31</v>
      </c>
    </row>
    <row r="10" spans="2:11" s="47" customFormat="1" ht="12.75">
      <c r="B10" s="48"/>
      <c r="G10" s="49"/>
      <c r="H10" s="49"/>
      <c r="I10" s="49"/>
      <c r="J10" s="49"/>
      <c r="K10" s="49"/>
    </row>
    <row r="11" spans="1:13" s="47" customFormat="1" ht="12.75">
      <c r="A11" s="76" t="s">
        <v>32</v>
      </c>
      <c r="B11" s="77"/>
      <c r="C11" s="78">
        <f>Computations!F11</f>
        <v>0.375</v>
      </c>
      <c r="D11" s="76"/>
      <c r="E11" s="76"/>
      <c r="F11" s="76"/>
      <c r="G11" s="78"/>
      <c r="H11" s="78"/>
      <c r="I11" s="78"/>
      <c r="J11" s="78"/>
      <c r="K11" s="78"/>
      <c r="L11" s="76"/>
      <c r="M11" s="76"/>
    </row>
    <row r="12" spans="1:13" s="47" customFormat="1" ht="12.75">
      <c r="A12" s="76">
        <f>Computations!A12</f>
        <v>1</v>
      </c>
      <c r="B12" s="77">
        <f>IF(ISTEXT(C12),"",Computations!B12)</f>
        <v>3</v>
      </c>
      <c r="C12" s="78">
        <f>IF(Computations!F12="closed",Computations!F11+Computations!C12,Computations!F12)</f>
        <v>0.3770833333333333</v>
      </c>
      <c r="D12" s="76">
        <f>Computations!H12</f>
      </c>
      <c r="E12" s="78">
        <f>Computations!I12</f>
      </c>
      <c r="F12" s="76">
        <f>IF(ISTEXT(Computations!M12),"",Computations!D12)</f>
        <v>3</v>
      </c>
      <c r="G12" s="78">
        <f>IF(Computations!$M12=1,Computations!L12,"")</f>
        <v>0.3770833333333333</v>
      </c>
      <c r="H12" s="78">
        <f>IF(ISTEXT($G12),"",$G12+Computations!$E12)</f>
        <v>0.37916666666666665</v>
      </c>
      <c r="I12" s="78">
        <f>IF(Computations!$M12=2,Computations!L12,"")</f>
      </c>
      <c r="J12" s="78">
        <f>IF(ISTEXT($I12),"",$I12+Computations!$E12)</f>
      </c>
      <c r="K12" s="78">
        <f>IF(D12="renege",E12-C12,"")</f>
      </c>
      <c r="L12" s="78">
        <f>IF(D12="renege","",Computations!G12)</f>
        <v>0</v>
      </c>
      <c r="M12" s="78">
        <f>IF(ISTEXT(L12),"",$L12+Computations!$E12)</f>
        <v>0.0020833333333333333</v>
      </c>
    </row>
    <row r="13" spans="1:13" s="47" customFormat="1" ht="12.75">
      <c r="A13" s="76">
        <f>Computations!A13</f>
        <v>2</v>
      </c>
      <c r="B13" s="77">
        <f>IF(ISTEXT(C13),"",Computations!B13)</f>
        <v>5</v>
      </c>
      <c r="C13" s="78">
        <f>IF(Computations!F13="closed",Computations!F12+Computations!C13,Computations!F13)</f>
        <v>0.38055555555555554</v>
      </c>
      <c r="D13" s="76">
        <f>Computations!H13</f>
      </c>
      <c r="E13" s="78">
        <f>Computations!I13</f>
      </c>
      <c r="F13" s="76">
        <f>IF(ISTEXT(Computations!M13),"",Computations!D13)</f>
        <v>3</v>
      </c>
      <c r="G13" s="78">
        <f>IF(Computations!$M13=1,Computations!L13,"")</f>
        <v>0.38055555555555554</v>
      </c>
      <c r="H13" s="78">
        <f>IF(ISTEXT($G13),"",$G13+Computations!$E13)</f>
        <v>0.38263888888888886</v>
      </c>
      <c r="I13" s="78">
        <f>IF(Computations!$M13=2,Computations!L13,"")</f>
      </c>
      <c r="J13" s="78">
        <f>IF(ISTEXT($I13),"",$I13+Computations!$E13)</f>
      </c>
      <c r="K13" s="78">
        <f aca="true" t="shared" si="0" ref="K13:K26">IF(D13="renege",E13-C13,"")</f>
      </c>
      <c r="L13" s="78">
        <f>IF(D13="renege","",Computations!G13)</f>
        <v>0</v>
      </c>
      <c r="M13" s="78">
        <f>IF(ISTEXT(L13),"",$L13+Computations!$E13)</f>
        <v>0.0020833333333333333</v>
      </c>
    </row>
    <row r="14" spans="1:13" s="47" customFormat="1" ht="12.75">
      <c r="A14" s="76">
        <f>Computations!A14</f>
        <v>3</v>
      </c>
      <c r="B14" s="77">
        <f>IF(ISTEXT(C14),"",Computations!B14)</f>
        <v>1</v>
      </c>
      <c r="C14" s="78">
        <f>IF(Computations!F14="closed",Computations!F13+Computations!C14,Computations!F14)</f>
        <v>0.38125</v>
      </c>
      <c r="D14" s="76">
        <f>Computations!H14</f>
      </c>
      <c r="E14" s="78">
        <f>Computations!I14</f>
      </c>
      <c r="F14" s="76">
        <f>IF(ISTEXT(Computations!M14),"",Computations!D14)</f>
        <v>9</v>
      </c>
      <c r="G14" s="78">
        <f>IF(Computations!$M14=1,Computations!L14,"")</f>
      </c>
      <c r="H14" s="78">
        <f>IF(ISTEXT($G14),"",$G14+Computations!$E14)</f>
      </c>
      <c r="I14" s="78">
        <f>IF(Computations!$M14=2,Computations!L14,"")</f>
        <v>0.38125</v>
      </c>
      <c r="J14" s="78">
        <f>IF(ISTEXT($I14),"",$I14+Computations!$E14)</f>
        <v>0.38749999999999996</v>
      </c>
      <c r="K14" s="78">
        <f t="shared" si="0"/>
      </c>
      <c r="L14" s="78">
        <f>IF(D14="renege","",Computations!G14)</f>
        <v>0</v>
      </c>
      <c r="M14" s="78">
        <f>IF(ISTEXT(L14),"",$L14+Computations!$E14)</f>
        <v>0.00625</v>
      </c>
    </row>
    <row r="15" spans="1:13" s="47" customFormat="1" ht="12.75">
      <c r="A15" s="76">
        <f>Computations!A15</f>
        <v>4</v>
      </c>
      <c r="B15" s="77">
        <f>IF(ISTEXT(C15),"",Computations!B15)</f>
        <v>3</v>
      </c>
      <c r="C15" s="78">
        <f>IF(Computations!F15="closed",Computations!F14+Computations!C15,Computations!F15)</f>
        <v>0.3833333333333333</v>
      </c>
      <c r="D15" s="76">
        <f>Computations!H15</f>
      </c>
      <c r="E15" s="78">
        <f>Computations!I15</f>
      </c>
      <c r="F15" s="76">
        <f>IF(ISTEXT(Computations!M15),"",Computations!D15)</f>
        <v>9</v>
      </c>
      <c r="G15" s="78">
        <f>IF(Computations!$M15=1,Computations!L15,"")</f>
        <v>0.3833333333333333</v>
      </c>
      <c r="H15" s="78">
        <f>IF(ISTEXT($G15),"",$G15+Computations!$E15)</f>
        <v>0.3895833333333333</v>
      </c>
      <c r="I15" s="78">
        <f>IF(Computations!$M15=2,Computations!L15,"")</f>
      </c>
      <c r="J15" s="78">
        <f>IF(ISTEXT($I15),"",$I15+Computations!$E15)</f>
      </c>
      <c r="K15" s="78">
        <f t="shared" si="0"/>
      </c>
      <c r="L15" s="78">
        <f>IF(D15="renege","",Computations!G15)</f>
        <v>0</v>
      </c>
      <c r="M15" s="78">
        <f>IF(ISTEXT(L15),"",$L15+Computations!$E15)</f>
        <v>0.00625</v>
      </c>
    </row>
    <row r="16" spans="1:13" s="47" customFormat="1" ht="12.75">
      <c r="A16" s="76">
        <f>Computations!A16</f>
        <v>5</v>
      </c>
      <c r="B16" s="77">
        <f>IF(ISTEXT(C16),"",Computations!B16)</f>
        <v>1</v>
      </c>
      <c r="C16" s="78">
        <f>IF(Computations!F16="closed",Computations!F15+Computations!C16,Computations!F16)</f>
        <v>0.38402777777777775</v>
      </c>
      <c r="D16" s="76" t="str">
        <f>Computations!H16</f>
        <v>renege</v>
      </c>
      <c r="E16" s="78">
        <f>Computations!I16</f>
        <v>0.38541666666666663</v>
      </c>
      <c r="F16" s="76">
        <f>IF(ISTEXT(Computations!M16),"",Computations!D16)</f>
      </c>
      <c r="G16" s="78">
        <f>IF(Computations!$M16=1,Computations!L16,"")</f>
      </c>
      <c r="H16" s="78">
        <f>IF(ISTEXT($G16),"",$G16+Computations!$E16)</f>
      </c>
      <c r="I16" s="78">
        <f>IF(Computations!$M16=2,Computations!L16,"")</f>
      </c>
      <c r="J16" s="78">
        <f>IF(ISTEXT($I16),"",$I16+Computations!$E16)</f>
      </c>
      <c r="K16" s="78">
        <f t="shared" si="0"/>
        <v>0.001388888888888884</v>
      </c>
      <c r="L16" s="78">
        <f>IF(D16="renege","",Computations!G16)</f>
      </c>
      <c r="M16" s="78">
        <f>IF(ISTEXT(L16),"",$L16+Computations!$E16)</f>
      </c>
    </row>
    <row r="17" spans="1:13" s="47" customFormat="1" ht="12.75">
      <c r="A17" s="76">
        <f>Computations!A17</f>
        <v>6</v>
      </c>
      <c r="B17" s="77">
        <f>IF(ISTEXT(C17),"",Computations!B17)</f>
        <v>3</v>
      </c>
      <c r="C17" s="78">
        <f>IF(Computations!F17="closed",Computations!F16+Computations!C17,Computations!F17)</f>
        <v>0.38611111111111107</v>
      </c>
      <c r="D17" s="76">
        <f>Computations!H17</f>
      </c>
      <c r="E17" s="78">
        <f>Computations!I17</f>
      </c>
      <c r="F17" s="76">
        <f>IF(ISTEXT(Computations!M17),"",Computations!D17)</f>
        <v>6</v>
      </c>
      <c r="G17" s="78">
        <f>IF(Computations!$M17=1,Computations!L17,"")</f>
      </c>
      <c r="H17" s="78">
        <f>IF(ISTEXT($G17),"",$G17+Computations!$E17)</f>
      </c>
      <c r="I17" s="78">
        <f>IF(Computations!$M17=2,Computations!L17,"")</f>
        <v>0.38749999999999996</v>
      </c>
      <c r="J17" s="78">
        <f>IF(ISTEXT($I17),"",$I17+Computations!$E17)</f>
        <v>0.3916666666666666</v>
      </c>
      <c r="K17" s="78">
        <f t="shared" si="0"/>
      </c>
      <c r="L17" s="78">
        <f>IF(D17="renege","",Computations!G17)</f>
        <v>0.001388888888888884</v>
      </c>
      <c r="M17" s="78">
        <f>IF(ISTEXT(L17),"",$L17+Computations!$E17)</f>
        <v>0.0055555555555555506</v>
      </c>
    </row>
    <row r="18" spans="1:13" s="47" customFormat="1" ht="12.75">
      <c r="A18" s="76">
        <f>Computations!A18</f>
        <v>7</v>
      </c>
      <c r="B18" s="77">
        <f>IF(ISTEXT(C18),"",Computations!B18)</f>
        <v>1</v>
      </c>
      <c r="C18" s="78">
        <f>IF(Computations!F18="closed",Computations!F17+Computations!C18,Computations!F18)</f>
        <v>0.3868055555555555</v>
      </c>
      <c r="D18" s="76" t="str">
        <f>Computations!H18</f>
        <v>renege</v>
      </c>
      <c r="E18" s="78">
        <f>Computations!I18</f>
        <v>0.3881944444444444</v>
      </c>
      <c r="F18" s="76">
        <f>IF(ISTEXT(Computations!M18),"",Computations!D18)</f>
      </c>
      <c r="G18" s="78">
        <f>IF(Computations!$M18=1,Computations!L18,"")</f>
      </c>
      <c r="H18" s="78">
        <f>IF(ISTEXT($G18),"",$G18+Computations!$E18)</f>
      </c>
      <c r="I18" s="78">
        <f>IF(Computations!$M18=2,Computations!L18,"")</f>
      </c>
      <c r="J18" s="78">
        <f>IF(ISTEXT($I18),"",$I18+Computations!$E18)</f>
      </c>
      <c r="K18" s="78">
        <f t="shared" si="0"/>
        <v>0.001388888888888884</v>
      </c>
      <c r="L18" s="78">
        <f>IF(D18="renege","",Computations!G18)</f>
      </c>
      <c r="M18" s="78">
        <f>IF(ISTEXT(L18),"",$L18+Computations!$E18)</f>
      </c>
    </row>
    <row r="19" spans="1:13" s="47" customFormat="1" ht="12.75">
      <c r="A19" s="76">
        <f>Computations!A19</f>
        <v>8</v>
      </c>
      <c r="B19" s="77">
        <f>IF(ISTEXT(C19),"",Computations!B19)</f>
        <v>5</v>
      </c>
      <c r="C19" s="78">
        <f>IF(Computations!F19="closed",Computations!F18+Computations!C19,Computations!F19)</f>
        <v>0.3902777777777777</v>
      </c>
      <c r="D19" s="76">
        <f>Computations!H19</f>
      </c>
      <c r="E19" s="78">
        <f>Computations!I19</f>
      </c>
      <c r="F19" s="76">
        <f>IF(ISTEXT(Computations!M19),"",Computations!D19)</f>
        <v>3</v>
      </c>
      <c r="G19" s="78">
        <f>IF(Computations!$M19=1,Computations!L19,"")</f>
        <v>0.3902777777777777</v>
      </c>
      <c r="H19" s="78">
        <f>IF(ISTEXT($G19),"",$G19+Computations!$E19)</f>
        <v>0.39236111111111105</v>
      </c>
      <c r="I19" s="78">
        <f>IF(Computations!$M19=2,Computations!L19,"")</f>
      </c>
      <c r="J19" s="78">
        <f>IF(ISTEXT($I19),"",$I19+Computations!$E19)</f>
      </c>
      <c r="K19" s="78">
        <f t="shared" si="0"/>
      </c>
      <c r="L19" s="78">
        <f>IF(D19="renege","",Computations!G19)</f>
        <v>0</v>
      </c>
      <c r="M19" s="78">
        <f>IF(ISTEXT(L19),"",$L19+Computations!$E19)</f>
        <v>0.0020833333333333333</v>
      </c>
    </row>
    <row r="20" spans="1:13" s="47" customFormat="1" ht="12.75">
      <c r="A20" s="76">
        <f>Computations!A20</f>
        <v>9</v>
      </c>
      <c r="B20" s="77">
        <f>IF(ISTEXT(C20),"",Computations!B20)</f>
        <v>1</v>
      </c>
      <c r="C20" s="78">
        <f>IF(Computations!F20="closed",Computations!F19+Computations!C20,Computations!F20)</f>
        <v>0.39097222222222217</v>
      </c>
      <c r="D20" s="76">
        <f>Computations!H20</f>
      </c>
      <c r="E20" s="78">
        <f>Computations!I20</f>
      </c>
      <c r="F20" s="76">
        <f>IF(ISTEXT(Computations!M20),"",Computations!D20)</f>
        <v>3</v>
      </c>
      <c r="G20" s="78">
        <f>IF(Computations!$M20=1,Computations!L20,"")</f>
      </c>
      <c r="H20" s="78">
        <f>IF(ISTEXT($G20),"",$G20+Computations!$E20)</f>
      </c>
      <c r="I20" s="78">
        <f>IF(Computations!$M20=2,Computations!L20,"")</f>
        <v>0.3916666666666666</v>
      </c>
      <c r="J20" s="78">
        <f>IF(ISTEXT($I20),"",$I20+Computations!$E20)</f>
        <v>0.39374999999999993</v>
      </c>
      <c r="K20" s="78">
        <f t="shared" si="0"/>
      </c>
      <c r="L20" s="78">
        <f>IF(D20="renege","",Computations!G20)</f>
        <v>0.000694444444444442</v>
      </c>
      <c r="M20" s="78">
        <f>IF(ISTEXT(L20),"",$L20+Computations!$E20)</f>
        <v>0.0027777777777777753</v>
      </c>
    </row>
    <row r="21" spans="1:13" s="47" customFormat="1" ht="12.75">
      <c r="A21" s="76">
        <f>Computations!A21</f>
        <v>10</v>
      </c>
      <c r="B21" s="77">
        <f>IF(ISTEXT(C21),"",Computations!B21)</f>
        <v>1</v>
      </c>
      <c r="C21" s="78">
        <f>IF(Computations!F21="closed",Computations!F20+Computations!C21,Computations!F21)</f>
        <v>0.3916666666666666</v>
      </c>
      <c r="D21" s="76">
        <f>Computations!H21</f>
      </c>
      <c r="E21" s="78">
        <f>Computations!I21</f>
      </c>
      <c r="F21" s="76">
        <f>IF(ISTEXT(Computations!M21),"",Computations!D21)</f>
        <v>6</v>
      </c>
      <c r="G21" s="78">
        <f>IF(Computations!$M21=1,Computations!L21,"")</f>
        <v>0.39236111111111105</v>
      </c>
      <c r="H21" s="78">
        <f>IF(ISTEXT($G21),"",$G21+Computations!$E21)</f>
        <v>0.3965277777777777</v>
      </c>
      <c r="I21" s="78">
        <f>IF(Computations!$M21=2,Computations!L21,"")</f>
      </c>
      <c r="J21" s="78">
        <f>IF(ISTEXT($I21),"",$I21+Computations!$E21)</f>
      </c>
      <c r="K21" s="78">
        <f t="shared" si="0"/>
      </c>
      <c r="L21" s="78">
        <f>IF(D21="renege","",Computations!G21)</f>
        <v>0.000694444444444442</v>
      </c>
      <c r="M21" s="78">
        <f>IF(ISTEXT(L21),"",$L21+Computations!$E21)</f>
        <v>0.004861111111111109</v>
      </c>
    </row>
    <row r="22" spans="1:13" s="47" customFormat="1" ht="12.75">
      <c r="A22" s="76">
        <f>Computations!A22</f>
        <v>11</v>
      </c>
      <c r="B22" s="77">
        <f>IF(ISTEXT(C22),"",Computations!B22)</f>
        <v>5</v>
      </c>
      <c r="C22" s="78">
        <f>IF(Computations!F22="closed",Computations!F21+Computations!C22,Computations!F22)</f>
        <v>0.3951388888888888</v>
      </c>
      <c r="D22" s="76">
        <f>Computations!H22</f>
      </c>
      <c r="E22" s="78">
        <f>Computations!I22</f>
      </c>
      <c r="F22" s="76">
        <f>IF(ISTEXT(Computations!M22),"",Computations!D22)</f>
        <v>9</v>
      </c>
      <c r="G22" s="78">
        <f>IF(Computations!$M22=1,Computations!L22,"")</f>
      </c>
      <c r="H22" s="78">
        <f>IF(ISTEXT($G22),"",$G22+Computations!$E22)</f>
      </c>
      <c r="I22" s="78">
        <f>IF(Computations!$M22=2,Computations!L22,"")</f>
        <v>0.3951388888888888</v>
      </c>
      <c r="J22" s="78">
        <f>IF(ISTEXT($I22),"",$I22+Computations!$E22)</f>
        <v>0.4013888888888888</v>
      </c>
      <c r="K22" s="78">
        <f t="shared" si="0"/>
      </c>
      <c r="L22" s="78">
        <f>IF(D22="renege","",Computations!G22)</f>
        <v>0</v>
      </c>
      <c r="M22" s="78">
        <f>IF(ISTEXT(L22),"",$L22+Computations!$E22)</f>
        <v>0.00625</v>
      </c>
    </row>
    <row r="23" spans="1:23" ht="12.75">
      <c r="A23" s="76">
        <f>Computations!A23</f>
        <v>12</v>
      </c>
      <c r="B23" s="77">
        <f>IF(ISTEXT(C23),"",Computations!B23)</f>
        <v>1</v>
      </c>
      <c r="C23" s="78">
        <f>IF(Computations!F23="closed",Computations!F22+Computations!C23,Computations!F23)</f>
        <v>0.39583333333333326</v>
      </c>
      <c r="D23" s="76">
        <f>Computations!H23</f>
      </c>
      <c r="E23" s="78">
        <f>Computations!I23</f>
      </c>
      <c r="F23" s="76">
        <f>IF(ISTEXT(Computations!M23),"",Computations!D23)</f>
        <v>9</v>
      </c>
      <c r="G23" s="78">
        <f>IF(Computations!$M23=1,Computations!L23,"")</f>
        <v>0.3965277777777777</v>
      </c>
      <c r="H23" s="78">
        <f>IF(ISTEXT($G23),"",$G23+Computations!$E23)</f>
        <v>0.4027777777777777</v>
      </c>
      <c r="I23" s="78">
        <f>IF(Computations!$M23=2,Computations!L23,"")</f>
      </c>
      <c r="J23" s="78">
        <f>IF(ISTEXT($I23),"",$I23+Computations!$E23)</f>
      </c>
      <c r="K23" s="78">
        <f t="shared" si="0"/>
      </c>
      <c r="L23" s="78">
        <f>IF(D23="renege","",Computations!G23)</f>
        <v>0.000694444444444442</v>
      </c>
      <c r="M23" s="78">
        <f>IF(ISTEXT(L23),"",$L23+Computations!$E23)</f>
        <v>0.006944444444444442</v>
      </c>
      <c r="W23" s="47"/>
    </row>
    <row r="24" spans="1:13" ht="12.75">
      <c r="A24" s="76">
        <f>Computations!A24</f>
        <v>13</v>
      </c>
      <c r="B24" s="77">
        <f>IF(ISTEXT(C24),"",Computations!B24)</f>
        <v>1</v>
      </c>
      <c r="C24" s="78">
        <f>IF(Computations!F24="closed",Computations!F23+Computations!C24,Computations!F24)</f>
        <v>0.3965277777777777</v>
      </c>
      <c r="D24" s="76" t="str">
        <f>Computations!H24</f>
        <v>renege</v>
      </c>
      <c r="E24" s="78">
        <f>Computations!I24</f>
        <v>0.3979166666666666</v>
      </c>
      <c r="F24" s="76">
        <f>IF(ISTEXT(Computations!M24),"",Computations!D24)</f>
      </c>
      <c r="G24" s="78">
        <f>IF(Computations!$M24=1,Computations!L24,"")</f>
      </c>
      <c r="H24" s="78">
        <f>IF(ISTEXT($G24),"",$G24+Computations!$E24)</f>
      </c>
      <c r="I24" s="78">
        <f>IF(Computations!$M24=2,Computations!L24,"")</f>
      </c>
      <c r="J24" s="78">
        <f>IF(ISTEXT($I24),"",$I24+Computations!$E24)</f>
      </c>
      <c r="K24" s="78">
        <f t="shared" si="0"/>
        <v>0.001388888888888884</v>
      </c>
      <c r="L24" s="78">
        <f>IF(D24="renege","",Computations!G24)</f>
      </c>
      <c r="M24" s="78">
        <f>IF(ISTEXT(L24),"",$L24+Computations!$E24)</f>
      </c>
    </row>
    <row r="25" spans="1:13" ht="12.75">
      <c r="A25" s="76">
        <f>Computations!A25</f>
        <v>14</v>
      </c>
      <c r="B25" s="77">
        <f>IF(ISTEXT(C25),"",Computations!B25)</f>
        <v>1</v>
      </c>
      <c r="C25" s="78">
        <f>IF(Computations!F25="closed",Computations!F24+Computations!C25,Computations!F25)</f>
        <v>0.39722222222222214</v>
      </c>
      <c r="D25" s="76" t="str">
        <f>Computations!H25</f>
        <v>renege</v>
      </c>
      <c r="E25" s="78">
        <f>Computations!I25</f>
        <v>0.398611111111111</v>
      </c>
      <c r="F25" s="76">
        <f>IF(ISTEXT(Computations!M25),"",Computations!D25)</f>
      </c>
      <c r="G25" s="78">
        <f>IF(Computations!$M25=1,Computations!L25,"")</f>
      </c>
      <c r="H25" s="78">
        <f>IF(ISTEXT($G25),"",$G25+Computations!$E25)</f>
      </c>
      <c r="I25" s="78">
        <f>IF(Computations!$M25=2,Computations!L25,"")</f>
      </c>
      <c r="J25" s="78">
        <f>IF(ISTEXT($I25),"",$I25+Computations!$E25)</f>
      </c>
      <c r="K25" s="78">
        <f t="shared" si="0"/>
        <v>0.001388888888888884</v>
      </c>
      <c r="L25" s="78">
        <f>IF(D25="renege","",Computations!G25)</f>
      </c>
      <c r="M25" s="78">
        <f>IF(ISTEXT(L25),"",$L25+Computations!$E25)</f>
      </c>
    </row>
    <row r="26" spans="1:13" ht="12.75">
      <c r="A26" s="76">
        <f>Computations!A26</f>
        <v>15</v>
      </c>
      <c r="B26" s="77">
        <f>IF(ISTEXT(C26),"",Computations!B26)</f>
        <v>1</v>
      </c>
      <c r="C26" s="78">
        <f>IF(Computations!F26="closed",Computations!F25+Computations!C26,Computations!F26)</f>
        <v>0.3979166666666666</v>
      </c>
      <c r="D26" s="76" t="str">
        <f>Computations!H26</f>
        <v>renege</v>
      </c>
      <c r="E26" s="78">
        <f>Computations!I26</f>
        <v>0.39930555555555547</v>
      </c>
      <c r="F26" s="76">
        <f>IF(ISTEXT(Computations!M26),"",Computations!D26)</f>
      </c>
      <c r="G26" s="78">
        <f>IF(Computations!$M26=1,Computations!L26,"")</f>
      </c>
      <c r="H26" s="78">
        <f>IF(ISTEXT($G26),"",$G26+Computations!$E26)</f>
      </c>
      <c r="I26" s="78">
        <f>IF(Computations!$M26=2,Computations!L26,"")</f>
      </c>
      <c r="J26" s="78">
        <f>IF(ISTEXT($I26),"",$I26+Computations!$E26)</f>
      </c>
      <c r="K26" s="78">
        <f t="shared" si="0"/>
        <v>0.001388888888888884</v>
      </c>
      <c r="L26" s="78">
        <f>IF(D26="renege","",Computations!G26)</f>
      </c>
      <c r="M26" s="78">
        <f>IF(ISTEXT(L26),"",$L26+Computations!$E26)</f>
      </c>
    </row>
    <row r="27" spans="4:5" ht="12.75">
      <c r="D27" s="47"/>
      <c r="E27" s="47"/>
    </row>
    <row r="28" spans="10:19" ht="12.75">
      <c r="J28" s="2"/>
      <c r="K28" s="2"/>
      <c r="S28" s="2"/>
    </row>
    <row r="29" ht="12.75">
      <c r="U29" s="50"/>
    </row>
    <row r="31" ht="12.75">
      <c r="S31" s="2"/>
    </row>
    <row r="32" ht="12.75">
      <c r="S32" s="2"/>
    </row>
    <row r="33" ht="12.75">
      <c r="S33" s="2"/>
    </row>
    <row r="34" ht="12.75">
      <c r="S34" s="2"/>
    </row>
    <row r="35" ht="12.75">
      <c r="S35" s="2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8515625" style="1" customWidth="1"/>
    <col min="2" max="2" width="12.140625" style="59" customWidth="1"/>
    <col min="3" max="3" width="12.140625" style="51" customWidth="1"/>
    <col min="4" max="4" width="11.421875" style="63" customWidth="1"/>
    <col min="5" max="5" width="10.7109375" style="51" customWidth="1"/>
    <col min="6" max="6" width="9.140625" style="51" customWidth="1"/>
    <col min="7" max="7" width="10.57421875" style="52" customWidth="1"/>
    <col min="8" max="8" width="10.00390625" style="52" customWidth="1"/>
    <col min="9" max="9" width="9.140625" style="53" customWidth="1"/>
    <col min="10" max="11" width="10.57421875" style="52" customWidth="1"/>
    <col min="12" max="12" width="11.7109375" style="53" customWidth="1"/>
    <col min="13" max="13" width="8.00390625" style="52" customWidth="1"/>
    <col min="16" max="16384" width="9.140625" style="51" customWidth="1"/>
  </cols>
  <sheetData>
    <row r="1" spans="1:5" ht="12.75">
      <c r="A1" s="3"/>
      <c r="B1" s="67"/>
      <c r="D1" s="69"/>
      <c r="E1" s="52" t="s">
        <v>33</v>
      </c>
    </row>
    <row r="2" spans="1:5" ht="12.75">
      <c r="A2" s="3"/>
      <c r="B2" s="67"/>
      <c r="D2" s="69"/>
      <c r="E2" s="79">
        <f>Data!E4/1440</f>
        <v>0.001388888888888889</v>
      </c>
    </row>
    <row r="3" spans="1:5" ht="12.75">
      <c r="A3" s="3"/>
      <c r="B3" s="67"/>
      <c r="D3" s="69"/>
      <c r="E3" s="53"/>
    </row>
    <row r="4" spans="1:5" ht="12.75">
      <c r="A4" s="3"/>
      <c r="B4" s="67"/>
      <c r="D4" s="69"/>
      <c r="E4" s="53"/>
    </row>
    <row r="5" spans="2:5" ht="12.75">
      <c r="B5" s="68"/>
      <c r="D5" s="69"/>
      <c r="E5" s="53"/>
    </row>
    <row r="6" spans="1:13" s="54" customFormat="1" ht="12.75">
      <c r="A6" s="4"/>
      <c r="B6" s="60" t="s">
        <v>18</v>
      </c>
      <c r="D6" s="64" t="s">
        <v>12</v>
      </c>
      <c r="G6" s="55" t="s">
        <v>34</v>
      </c>
      <c r="H6" s="55"/>
      <c r="I6" s="56"/>
      <c r="J6" s="55" t="s">
        <v>34</v>
      </c>
      <c r="K6" s="55" t="s">
        <v>34</v>
      </c>
      <c r="L6" s="56"/>
      <c r="M6" s="55"/>
    </row>
    <row r="7" spans="1:15" s="54" customFormat="1" ht="12.75">
      <c r="A7" s="40" t="s">
        <v>17</v>
      </c>
      <c r="B7" s="60" t="s">
        <v>15</v>
      </c>
      <c r="C7" s="55" t="s">
        <v>18</v>
      </c>
      <c r="D7" s="64" t="s">
        <v>15</v>
      </c>
      <c r="E7" s="55" t="s">
        <v>35</v>
      </c>
      <c r="F7" s="55" t="s">
        <v>19</v>
      </c>
      <c r="G7" s="55" t="s">
        <v>23</v>
      </c>
      <c r="H7" s="55"/>
      <c r="I7" s="56" t="s">
        <v>20</v>
      </c>
      <c r="J7" s="55" t="s">
        <v>36</v>
      </c>
      <c r="K7" s="55" t="s">
        <v>37</v>
      </c>
      <c r="L7" s="56" t="s">
        <v>38</v>
      </c>
      <c r="M7" s="55" t="s">
        <v>39</v>
      </c>
      <c r="N7" s="55" t="s">
        <v>12</v>
      </c>
      <c r="O7" s="54" t="s">
        <v>94</v>
      </c>
    </row>
    <row r="8" spans="1:15" s="54" customFormat="1" ht="12.75">
      <c r="A8" s="40" t="s">
        <v>25</v>
      </c>
      <c r="B8" s="60" t="s">
        <v>40</v>
      </c>
      <c r="C8" s="55" t="s">
        <v>15</v>
      </c>
      <c r="D8" s="64" t="s">
        <v>40</v>
      </c>
      <c r="E8" s="55" t="s">
        <v>15</v>
      </c>
      <c r="F8" s="55" t="s">
        <v>15</v>
      </c>
      <c r="G8" s="55" t="s">
        <v>15</v>
      </c>
      <c r="H8" s="55" t="s">
        <v>26</v>
      </c>
      <c r="I8" s="56" t="s">
        <v>27</v>
      </c>
      <c r="J8" s="55" t="s">
        <v>15</v>
      </c>
      <c r="K8" s="55" t="s">
        <v>15</v>
      </c>
      <c r="L8" s="56" t="s">
        <v>1</v>
      </c>
      <c r="M8" s="55" t="s">
        <v>41</v>
      </c>
      <c r="N8" s="55" t="s">
        <v>15</v>
      </c>
      <c r="O8" s="54" t="s">
        <v>30</v>
      </c>
    </row>
    <row r="9" spans="1:17" s="54" customFormat="1" ht="13.5" thickBot="1">
      <c r="A9" s="45"/>
      <c r="B9" s="61" t="s">
        <v>16</v>
      </c>
      <c r="C9" s="57" t="s">
        <v>42</v>
      </c>
      <c r="D9" s="65" t="s">
        <v>16</v>
      </c>
      <c r="E9" s="66" t="s">
        <v>42</v>
      </c>
      <c r="F9" s="57" t="s">
        <v>31</v>
      </c>
      <c r="G9" s="57" t="s">
        <v>31</v>
      </c>
      <c r="H9" s="57"/>
      <c r="I9" s="70" t="s">
        <v>31</v>
      </c>
      <c r="J9" s="57" t="s">
        <v>31</v>
      </c>
      <c r="K9" s="57" t="s">
        <v>31</v>
      </c>
      <c r="L9" s="57" t="s">
        <v>31</v>
      </c>
      <c r="M9" s="57"/>
      <c r="N9" s="55" t="s">
        <v>93</v>
      </c>
      <c r="Q9" s="85" t="s">
        <v>95</v>
      </c>
    </row>
    <row r="10" spans="1:14" ht="12.75">
      <c r="A10" s="47"/>
      <c r="C10" s="52"/>
      <c r="D10" s="62"/>
      <c r="E10" s="52"/>
      <c r="F10" s="52"/>
      <c r="N10" s="82"/>
    </row>
    <row r="11" spans="1:18" ht="12.75">
      <c r="A11" s="76" t="s">
        <v>32</v>
      </c>
      <c r="C11" s="52"/>
      <c r="D11" s="62"/>
      <c r="E11" s="52"/>
      <c r="F11" s="79">
        <f>start_time</f>
        <v>0.375</v>
      </c>
      <c r="J11" s="53"/>
      <c r="K11" s="53"/>
      <c r="N11" s="82"/>
      <c r="Q11" s="51" t="s">
        <v>96</v>
      </c>
      <c r="R11" s="51" t="s">
        <v>97</v>
      </c>
    </row>
    <row r="12" spans="1:18" ht="12.75">
      <c r="A12" s="76">
        <f>IF(ISTEXT(F12),"closed",1)</f>
        <v>1</v>
      </c>
      <c r="B12" s="62">
        <f ca="1">VLOOKUP(RAND(),arrival,3)</f>
        <v>3</v>
      </c>
      <c r="C12" s="79">
        <f>B12/1440</f>
        <v>0.0020833333333333333</v>
      </c>
      <c r="D12" s="62">
        <f ca="1">VLOOKUP(RAND(),service,3)</f>
        <v>3</v>
      </c>
      <c r="E12" s="79">
        <f>D12/1440</f>
        <v>0.0020833333333333333</v>
      </c>
      <c r="F12" s="79">
        <f>IF(ISTEXT(F11),"",IF(F11+C12&gt;=close_time,"closed",F11+C12))</f>
        <v>0.3770833333333333</v>
      </c>
      <c r="G12" s="79">
        <f>IF(ISTEXT(F12),"",L12-F12)</f>
        <v>0</v>
      </c>
      <c r="H12" s="80">
        <f>IF(ISTEXT(G12),"",IF(G12&gt;renege_time,"renege",""))</f>
      </c>
      <c r="I12" s="79">
        <f aca="true" t="shared" si="0" ref="I12:I26">IF(H12="renege",F12+renege_time,"")</f>
      </c>
      <c r="J12" s="79">
        <f>IF(ISTEXT(F12),"",MAX(Simulation!H$11:H11,start_time,$F12))</f>
        <v>0.3770833333333333</v>
      </c>
      <c r="K12" s="79">
        <f>IF(ISTEXT(F12),"",MAX(Simulation!J$11:J11,start_time,$F12))</f>
        <v>0.3770833333333333</v>
      </c>
      <c r="L12" s="79">
        <f>IF(ISTEXT(F12),"",MIN(J12:K12))</f>
        <v>0.3770833333333333</v>
      </c>
      <c r="M12" s="80">
        <f>IF(OR(ISTEXT(F12),H12="renege"),"",MATCH(L12,J12:K12,0))</f>
        <v>1</v>
      </c>
      <c r="N12" s="83">
        <f>IF(H12="renege","",E12)</f>
        <v>0.0020833333333333333</v>
      </c>
      <c r="O12" s="84">
        <f>IF(Simulation!L12="",Simulation!K12,Simulation!L12)</f>
        <v>0</v>
      </c>
      <c r="Q12" s="86">
        <f>IF(ISNUMBER(SMALL(Simulation!$G$12:Simulation!$H$26,1)),SMALL(Simulation!$G$12:Simulation!$H$26,1),1)</f>
        <v>0.3770833333333333</v>
      </c>
      <c r="R12" s="86">
        <f>IF(ISNUMBER(SMALL(Simulation!$I$12:Simulation!$J$26,1)),SMALL(Simulation!$I$12:Simulation!$J$26,1),1)</f>
        <v>0.38125</v>
      </c>
    </row>
    <row r="13" spans="1:18" ht="12.75">
      <c r="A13" s="76">
        <f>IF(ISTEXT(F13),"closed",A12+1)</f>
        <v>2</v>
      </c>
      <c r="B13" s="62">
        <f aca="true" ca="1" t="shared" si="1" ref="B13:B26">VLOOKUP(RAND(),arrival,3)</f>
        <v>5</v>
      </c>
      <c r="C13" s="79">
        <f aca="true" t="shared" si="2" ref="C13:C26">B13/1440</f>
        <v>0.003472222222222222</v>
      </c>
      <c r="D13" s="62">
        <f aca="true" ca="1" t="shared" si="3" ref="D13:D26">VLOOKUP(RAND(),service,3)</f>
        <v>3</v>
      </c>
      <c r="E13" s="79">
        <f aca="true" t="shared" si="4" ref="E13:E26">D13/1440</f>
        <v>0.0020833333333333333</v>
      </c>
      <c r="F13" s="79">
        <f aca="true" t="shared" si="5" ref="F13:F26">IF(ISTEXT(F12),"",IF(F12+C13&gt;=close_time,"closed",F12+C13))</f>
        <v>0.38055555555555554</v>
      </c>
      <c r="G13" s="79">
        <f aca="true" t="shared" si="6" ref="G13:G26">IF(ISTEXT(F13),"",L13-F13)</f>
        <v>0</v>
      </c>
      <c r="H13" s="80">
        <f aca="true" t="shared" si="7" ref="H13:H26">IF(ISTEXT(G13),"",IF(G13&gt;renege_time,"renege",""))</f>
      </c>
      <c r="I13" s="79">
        <f t="shared" si="0"/>
      </c>
      <c r="J13" s="79">
        <f>IF(ISTEXT(F13),"",MAX(Simulation!H$11:H12,start_time,$F13))</f>
        <v>0.38055555555555554</v>
      </c>
      <c r="K13" s="79">
        <f>IF(ISTEXT(F13),"",MAX(Simulation!J$11:J12,start_time,$F13))</f>
        <v>0.38055555555555554</v>
      </c>
      <c r="L13" s="79">
        <f aca="true" t="shared" si="8" ref="L13:L26">IF(ISTEXT(F13),"",MIN(J13:K13))</f>
        <v>0.38055555555555554</v>
      </c>
      <c r="M13" s="80">
        <f aca="true" t="shared" si="9" ref="M13:M26">IF(OR(ISTEXT(F13),H13="renege"),"",MATCH(L13,J13:K13,0))</f>
        <v>1</v>
      </c>
      <c r="N13" s="83">
        <f>IF(H13="renege","",E13)</f>
        <v>0.0020833333333333333</v>
      </c>
      <c r="O13" s="84">
        <f>IF(Simulation!L13="",Simulation!K13,Simulation!L13)</f>
        <v>0</v>
      </c>
      <c r="Q13" s="86">
        <f>IF(ISNUMBER(SMALL(Simulation!$G$12:Simulation!$H$26,2)),SMALL(Simulation!$G$12:Simulation!$H$26,2),1)</f>
        <v>0.37916666666666665</v>
      </c>
      <c r="R13" s="86">
        <f>IF(ISNUMBER(SMALL(Simulation!$I$12:Simulation!$J$26,2)),SMALL(Simulation!$I$12:Simulation!$J$26,2),1)</f>
        <v>0.38749999999999996</v>
      </c>
    </row>
    <row r="14" spans="1:18" ht="12.75">
      <c r="A14" s="76">
        <f aca="true" t="shared" si="10" ref="A14:A26">IF(ISTEXT(F14),"closed",A13+1)</f>
        <v>3</v>
      </c>
      <c r="B14" s="62">
        <f ca="1" t="shared" si="1"/>
        <v>1</v>
      </c>
      <c r="C14" s="79">
        <f t="shared" si="2"/>
        <v>0.0006944444444444445</v>
      </c>
      <c r="D14" s="62">
        <f ca="1" t="shared" si="3"/>
        <v>9</v>
      </c>
      <c r="E14" s="79">
        <f t="shared" si="4"/>
        <v>0.00625</v>
      </c>
      <c r="F14" s="79">
        <f t="shared" si="5"/>
        <v>0.38125</v>
      </c>
      <c r="G14" s="79">
        <f t="shared" si="6"/>
        <v>0</v>
      </c>
      <c r="H14" s="80">
        <f t="shared" si="7"/>
      </c>
      <c r="I14" s="79">
        <f t="shared" si="0"/>
      </c>
      <c r="J14" s="79">
        <f>IF(ISTEXT(F14),"",MAX(Simulation!H$11:H13,start_time,$F14))</f>
        <v>0.38263888888888886</v>
      </c>
      <c r="K14" s="79">
        <f>IF(ISTEXT(F14),"",MAX(Simulation!J$11:J13,start_time,$F14))</f>
        <v>0.38125</v>
      </c>
      <c r="L14" s="79">
        <f t="shared" si="8"/>
        <v>0.38125</v>
      </c>
      <c r="M14" s="80">
        <f t="shared" si="9"/>
        <v>2</v>
      </c>
      <c r="N14" s="83">
        <f>IF(H14="renege","",E14)</f>
        <v>0.00625</v>
      </c>
      <c r="O14" s="84">
        <f>IF(Simulation!L14="",Simulation!K14,Simulation!L14)</f>
        <v>0</v>
      </c>
      <c r="Q14" s="86">
        <f>IF(ISNUMBER(SMALL(Simulation!$G$12:Simulation!$H$26,3)),SMALL(Simulation!$G$12:Simulation!$H$26,3),1)</f>
        <v>0.38055555555555554</v>
      </c>
      <c r="R14" s="86">
        <f>IF(ISNUMBER(SMALL(Simulation!$I$12:Simulation!$J$26,3)),SMALL(Simulation!$I$12:Simulation!$J$26,3),1)</f>
        <v>0.38749999999999996</v>
      </c>
    </row>
    <row r="15" spans="1:18" ht="12.75">
      <c r="A15" s="76">
        <f t="shared" si="10"/>
        <v>4</v>
      </c>
      <c r="B15" s="62">
        <f ca="1" t="shared" si="1"/>
        <v>3</v>
      </c>
      <c r="C15" s="79">
        <f t="shared" si="2"/>
        <v>0.0020833333333333333</v>
      </c>
      <c r="D15" s="62">
        <f ca="1" t="shared" si="3"/>
        <v>9</v>
      </c>
      <c r="E15" s="79">
        <f t="shared" si="4"/>
        <v>0.00625</v>
      </c>
      <c r="F15" s="79">
        <f t="shared" si="5"/>
        <v>0.3833333333333333</v>
      </c>
      <c r="G15" s="79">
        <f t="shared" si="6"/>
        <v>0</v>
      </c>
      <c r="H15" s="80">
        <f t="shared" si="7"/>
      </c>
      <c r="I15" s="79">
        <f t="shared" si="0"/>
      </c>
      <c r="J15" s="79">
        <f>IF(ISTEXT(F15),"",MAX(Simulation!H$11:H14,start_time,$F15))</f>
        <v>0.3833333333333333</v>
      </c>
      <c r="K15" s="79">
        <f>IF(ISTEXT(F15),"",MAX(Simulation!J$11:J14,start_time,$F15))</f>
        <v>0.38749999999999996</v>
      </c>
      <c r="L15" s="79">
        <f t="shared" si="8"/>
        <v>0.3833333333333333</v>
      </c>
      <c r="M15" s="80">
        <f t="shared" si="9"/>
        <v>1</v>
      </c>
      <c r="N15" s="83">
        <f>IF(H15="renege","",E15)</f>
        <v>0.00625</v>
      </c>
      <c r="O15" s="84">
        <f>IF(Simulation!L15="",Simulation!K15,Simulation!L15)</f>
        <v>0</v>
      </c>
      <c r="Q15" s="86">
        <f>IF(ISNUMBER(SMALL(Simulation!$G$12:Simulation!$H$26,4)),SMALL(Simulation!$G$12:Simulation!$H$26,4),1)</f>
        <v>0.38263888888888886</v>
      </c>
      <c r="R15" s="86">
        <f>IF(ISNUMBER(SMALL(Simulation!$I$12:Simulation!$J$26,4)),SMALL(Simulation!$I$12:Simulation!$J$26,4),1)</f>
        <v>0.3916666666666666</v>
      </c>
    </row>
    <row r="16" spans="1:18" ht="12.75">
      <c r="A16" s="76">
        <f t="shared" si="10"/>
        <v>5</v>
      </c>
      <c r="B16" s="62">
        <f ca="1" t="shared" si="1"/>
        <v>1</v>
      </c>
      <c r="C16" s="79">
        <f t="shared" si="2"/>
        <v>0.0006944444444444445</v>
      </c>
      <c r="D16" s="62">
        <f ca="1" t="shared" si="3"/>
        <v>9</v>
      </c>
      <c r="E16" s="79">
        <f t="shared" si="4"/>
        <v>0.00625</v>
      </c>
      <c r="F16" s="79">
        <f t="shared" si="5"/>
        <v>0.38402777777777775</v>
      </c>
      <c r="G16" s="79">
        <f t="shared" si="6"/>
        <v>0.00347222222222221</v>
      </c>
      <c r="H16" s="80" t="str">
        <f t="shared" si="7"/>
        <v>renege</v>
      </c>
      <c r="I16" s="79">
        <f t="shared" si="0"/>
        <v>0.38541666666666663</v>
      </c>
      <c r="J16" s="79">
        <f>IF(ISTEXT(F16),"",MAX(Simulation!H$11:H15,start_time,$F16))</f>
        <v>0.3895833333333333</v>
      </c>
      <c r="K16" s="79">
        <f>IF(ISTEXT(F16),"",MAX(Simulation!J$11:J15,start_time,$F16))</f>
        <v>0.38749999999999996</v>
      </c>
      <c r="L16" s="79">
        <f t="shared" si="8"/>
        <v>0.38749999999999996</v>
      </c>
      <c r="M16" s="80">
        <f t="shared" si="9"/>
      </c>
      <c r="N16" s="83">
        <f>IF(H16="renege","",E16)</f>
      </c>
      <c r="O16" s="84">
        <f>IF(Simulation!L16="",Simulation!K16,Simulation!L16)</f>
        <v>0.001388888888888884</v>
      </c>
      <c r="Q16" s="86">
        <f>IF(ISNUMBER(SMALL(Simulation!$G$12:Simulation!$H$26,5)),SMALL(Simulation!$G$12:Simulation!$H$26,5),1)</f>
        <v>0.3833333333333333</v>
      </c>
      <c r="R16" s="86">
        <f>IF(ISNUMBER(SMALL(Simulation!$I$12:Simulation!$J$26,5)),SMALL(Simulation!$I$12:Simulation!$J$26,5),1)</f>
        <v>0.3916666666666666</v>
      </c>
    </row>
    <row r="17" spans="1:18" ht="12.75">
      <c r="A17" s="76">
        <f t="shared" si="10"/>
        <v>6</v>
      </c>
      <c r="B17" s="62">
        <f ca="1" t="shared" si="1"/>
        <v>3</v>
      </c>
      <c r="C17" s="79">
        <f t="shared" si="2"/>
        <v>0.0020833333333333333</v>
      </c>
      <c r="D17" s="62">
        <f ca="1" t="shared" si="3"/>
        <v>6</v>
      </c>
      <c r="E17" s="79">
        <f t="shared" si="4"/>
        <v>0.004166666666666667</v>
      </c>
      <c r="F17" s="79">
        <f t="shared" si="5"/>
        <v>0.38611111111111107</v>
      </c>
      <c r="G17" s="79">
        <f t="shared" si="6"/>
        <v>0.001388888888888884</v>
      </c>
      <c r="H17" s="80">
        <f t="shared" si="7"/>
      </c>
      <c r="I17" s="79">
        <f t="shared" si="0"/>
      </c>
      <c r="J17" s="79">
        <f>IF(ISTEXT(F17),"",MAX(Simulation!H$11:H16,start_time,$F17))</f>
        <v>0.3895833333333333</v>
      </c>
      <c r="K17" s="79">
        <f>IF(ISTEXT(F17),"",MAX(Simulation!J$11:J16,start_time,$F17))</f>
        <v>0.38749999999999996</v>
      </c>
      <c r="L17" s="79">
        <f t="shared" si="8"/>
        <v>0.38749999999999996</v>
      </c>
      <c r="M17" s="80">
        <f t="shared" si="9"/>
        <v>2</v>
      </c>
      <c r="N17" s="83">
        <f>IF(H17="renege","",E17)</f>
        <v>0.004166666666666667</v>
      </c>
      <c r="O17" s="84">
        <f>IF(Simulation!L17="",Simulation!K17,Simulation!L17)</f>
        <v>0.001388888888888884</v>
      </c>
      <c r="Q17" s="86">
        <f>IF(ISNUMBER(SMALL(Simulation!$G$12:Simulation!$H$26,6)),SMALL(Simulation!$G$12:Simulation!$H$26,6),1)</f>
        <v>0.3895833333333333</v>
      </c>
      <c r="R17" s="86">
        <f>IF(ISNUMBER(SMALL(Simulation!$I$12:Simulation!$J$26,6)),SMALL(Simulation!$I$12:Simulation!$J$26,6),1)</f>
        <v>0.39374999999999993</v>
      </c>
    </row>
    <row r="18" spans="1:18" ht="12.75">
      <c r="A18" s="76">
        <f t="shared" si="10"/>
        <v>7</v>
      </c>
      <c r="B18" s="62">
        <f ca="1" t="shared" si="1"/>
        <v>1</v>
      </c>
      <c r="C18" s="79">
        <f t="shared" si="2"/>
        <v>0.0006944444444444445</v>
      </c>
      <c r="D18" s="62">
        <f ca="1" t="shared" si="3"/>
        <v>9</v>
      </c>
      <c r="E18" s="79">
        <f t="shared" si="4"/>
        <v>0.00625</v>
      </c>
      <c r="F18" s="79">
        <f t="shared" si="5"/>
        <v>0.3868055555555555</v>
      </c>
      <c r="G18" s="79">
        <f t="shared" si="6"/>
        <v>0.002777777777777768</v>
      </c>
      <c r="H18" s="80" t="str">
        <f t="shared" si="7"/>
        <v>renege</v>
      </c>
      <c r="I18" s="79">
        <f t="shared" si="0"/>
        <v>0.3881944444444444</v>
      </c>
      <c r="J18" s="79">
        <f>IF(ISTEXT(F18),"",MAX(Simulation!H$11:H17,start_time,$F18))</f>
        <v>0.3895833333333333</v>
      </c>
      <c r="K18" s="79">
        <f>IF(ISTEXT(F18),"",MAX(Simulation!J$11:J17,start_time,$F18))</f>
        <v>0.3916666666666666</v>
      </c>
      <c r="L18" s="79">
        <f t="shared" si="8"/>
        <v>0.3895833333333333</v>
      </c>
      <c r="M18" s="80">
        <f t="shared" si="9"/>
      </c>
      <c r="N18" s="83">
        <f>IF(H18="renege","",E18)</f>
      </c>
      <c r="O18" s="84">
        <f>IF(Simulation!L18="",Simulation!K18,Simulation!L18)</f>
        <v>0.001388888888888884</v>
      </c>
      <c r="Q18" s="86">
        <f>IF(ISNUMBER(SMALL(Simulation!$G$12:Simulation!$H$26,7)),SMALL(Simulation!$G$12:Simulation!$H$26,7),1)</f>
        <v>0.3902777777777777</v>
      </c>
      <c r="R18" s="86">
        <f>IF(ISNUMBER(SMALL(Simulation!$I$12:Simulation!$J$26,7)),SMALL(Simulation!$I$12:Simulation!$J$26,7),1)</f>
        <v>0.3951388888888888</v>
      </c>
    </row>
    <row r="19" spans="1:18" ht="12.75">
      <c r="A19" s="76">
        <f t="shared" si="10"/>
        <v>8</v>
      </c>
      <c r="B19" s="62">
        <f ca="1" t="shared" si="1"/>
        <v>5</v>
      </c>
      <c r="C19" s="79">
        <f t="shared" si="2"/>
        <v>0.003472222222222222</v>
      </c>
      <c r="D19" s="62">
        <f ca="1" t="shared" si="3"/>
        <v>3</v>
      </c>
      <c r="E19" s="79">
        <f t="shared" si="4"/>
        <v>0.0020833333333333333</v>
      </c>
      <c r="F19" s="79">
        <f t="shared" si="5"/>
        <v>0.3902777777777777</v>
      </c>
      <c r="G19" s="79">
        <f t="shared" si="6"/>
        <v>0</v>
      </c>
      <c r="H19" s="80">
        <f t="shared" si="7"/>
      </c>
      <c r="I19" s="79">
        <f t="shared" si="0"/>
      </c>
      <c r="J19" s="79">
        <f>IF(ISTEXT(F19),"",MAX(Simulation!H$11:H18,start_time,$F19))</f>
        <v>0.3902777777777777</v>
      </c>
      <c r="K19" s="79">
        <f>IF(ISTEXT(F19),"",MAX(Simulation!J$11:J18,start_time,$F19))</f>
        <v>0.3916666666666666</v>
      </c>
      <c r="L19" s="79">
        <f t="shared" si="8"/>
        <v>0.3902777777777777</v>
      </c>
      <c r="M19" s="80">
        <f t="shared" si="9"/>
        <v>1</v>
      </c>
      <c r="N19" s="83">
        <f>IF(H19="renege","",E19)</f>
        <v>0.0020833333333333333</v>
      </c>
      <c r="O19" s="84">
        <f>IF(Simulation!L19="",Simulation!K19,Simulation!L19)</f>
        <v>0</v>
      </c>
      <c r="Q19" s="86">
        <f>IF(ISNUMBER(SMALL(Simulation!$G$12:Simulation!$H$26,8)),SMALL(Simulation!$G$12:Simulation!$H$26,8),1)</f>
        <v>0.39236111111111105</v>
      </c>
      <c r="R19" s="86">
        <f>IF(ISNUMBER(SMALL(Simulation!$I$12:Simulation!$J$26,8)),SMALL(Simulation!$I$12:Simulation!$J$26,8),1)</f>
        <v>0.4013888888888888</v>
      </c>
    </row>
    <row r="20" spans="1:18" ht="12.75">
      <c r="A20" s="76">
        <f t="shared" si="10"/>
        <v>9</v>
      </c>
      <c r="B20" s="62">
        <f ca="1" t="shared" si="1"/>
        <v>1</v>
      </c>
      <c r="C20" s="79">
        <f t="shared" si="2"/>
        <v>0.0006944444444444445</v>
      </c>
      <c r="D20" s="62">
        <f ca="1" t="shared" si="3"/>
        <v>3</v>
      </c>
      <c r="E20" s="79">
        <f t="shared" si="4"/>
        <v>0.0020833333333333333</v>
      </c>
      <c r="F20" s="79">
        <f t="shared" si="5"/>
        <v>0.39097222222222217</v>
      </c>
      <c r="G20" s="79">
        <f t="shared" si="6"/>
        <v>0.000694444444444442</v>
      </c>
      <c r="H20" s="80">
        <f t="shared" si="7"/>
      </c>
      <c r="I20" s="79">
        <f t="shared" si="0"/>
      </c>
      <c r="J20" s="79">
        <f>IF(ISTEXT(F20),"",MAX(Simulation!H$11:H19,start_time,$F20))</f>
        <v>0.39236111111111105</v>
      </c>
      <c r="K20" s="79">
        <f>IF(ISTEXT(F20),"",MAX(Simulation!J$11:J19,start_time,$F20))</f>
        <v>0.3916666666666666</v>
      </c>
      <c r="L20" s="79">
        <f t="shared" si="8"/>
        <v>0.3916666666666666</v>
      </c>
      <c r="M20" s="80">
        <f t="shared" si="9"/>
        <v>2</v>
      </c>
      <c r="N20" s="83">
        <f>IF(H20="renege","",E20)</f>
        <v>0.0020833333333333333</v>
      </c>
      <c r="O20" s="84">
        <f>IF(Simulation!L20="",Simulation!K20,Simulation!L20)</f>
        <v>0.000694444444444442</v>
      </c>
      <c r="Q20" s="86">
        <f>IF(ISNUMBER(SMALL(Simulation!$G$12:Simulation!$H$26,9)),SMALL(Simulation!$G$12:Simulation!$H$26,9),1)</f>
        <v>0.39236111111111105</v>
      </c>
      <c r="R20" s="86">
        <f>IF(ISNUMBER(SMALL(Simulation!$I$12:Simulation!$J$26,9)),SMALL(Simulation!$I$12:Simulation!$J$26,9),1)</f>
        <v>1</v>
      </c>
    </row>
    <row r="21" spans="1:18" ht="12.75">
      <c r="A21" s="76">
        <f t="shared" si="10"/>
        <v>10</v>
      </c>
      <c r="B21" s="62">
        <f ca="1" t="shared" si="1"/>
        <v>1</v>
      </c>
      <c r="C21" s="79">
        <f t="shared" si="2"/>
        <v>0.0006944444444444445</v>
      </c>
      <c r="D21" s="62">
        <f ca="1" t="shared" si="3"/>
        <v>6</v>
      </c>
      <c r="E21" s="79">
        <f t="shared" si="4"/>
        <v>0.004166666666666667</v>
      </c>
      <c r="F21" s="79">
        <f t="shared" si="5"/>
        <v>0.3916666666666666</v>
      </c>
      <c r="G21" s="79">
        <f t="shared" si="6"/>
        <v>0.000694444444444442</v>
      </c>
      <c r="H21" s="80">
        <f t="shared" si="7"/>
      </c>
      <c r="I21" s="79">
        <f t="shared" si="0"/>
      </c>
      <c r="J21" s="79">
        <f>IF(ISTEXT(F21),"",MAX(Simulation!H$11:H20,start_time,$F21))</f>
        <v>0.39236111111111105</v>
      </c>
      <c r="K21" s="79">
        <f>IF(ISTEXT(F21),"",MAX(Simulation!J$11:J20,start_time,$F21))</f>
        <v>0.39374999999999993</v>
      </c>
      <c r="L21" s="79">
        <f t="shared" si="8"/>
        <v>0.39236111111111105</v>
      </c>
      <c r="M21" s="80">
        <f t="shared" si="9"/>
        <v>1</v>
      </c>
      <c r="N21" s="83">
        <f>IF(H21="renege","",E21)</f>
        <v>0.004166666666666667</v>
      </c>
      <c r="O21" s="84">
        <f>IF(Simulation!L21="",Simulation!K21,Simulation!L21)</f>
        <v>0.000694444444444442</v>
      </c>
      <c r="Q21" s="86">
        <f>IF(ISNUMBER(SMALL(Simulation!$G$12:Simulation!$H$26,10)),SMALL(Simulation!$G$12:Simulation!$H$26,10),1)</f>
        <v>0.3965277777777777</v>
      </c>
      <c r="R21" s="86">
        <f>IF(ISNUMBER(SMALL(Simulation!$I$12:Simulation!$J$26,10)),SMALL(Simulation!$I$12:Simulation!$J$26,10),1)</f>
        <v>1</v>
      </c>
    </row>
    <row r="22" spans="1:18" ht="12.75">
      <c r="A22" s="76">
        <f t="shared" si="10"/>
        <v>11</v>
      </c>
      <c r="B22" s="62">
        <f ca="1" t="shared" si="1"/>
        <v>5</v>
      </c>
      <c r="C22" s="79">
        <f t="shared" si="2"/>
        <v>0.003472222222222222</v>
      </c>
      <c r="D22" s="62">
        <f ca="1" t="shared" si="3"/>
        <v>9</v>
      </c>
      <c r="E22" s="79">
        <f t="shared" si="4"/>
        <v>0.00625</v>
      </c>
      <c r="F22" s="79">
        <f t="shared" si="5"/>
        <v>0.3951388888888888</v>
      </c>
      <c r="G22" s="79">
        <f t="shared" si="6"/>
        <v>0</v>
      </c>
      <c r="H22" s="80">
        <f t="shared" si="7"/>
      </c>
      <c r="I22" s="79">
        <f t="shared" si="0"/>
      </c>
      <c r="J22" s="79">
        <f>IF(ISTEXT(F22),"",MAX(Simulation!H$11:H21,start_time,$F22))</f>
        <v>0.3965277777777777</v>
      </c>
      <c r="K22" s="79">
        <f>IF(ISTEXT(F22),"",MAX(Simulation!J$11:J21,start_time,$F22))</f>
        <v>0.3951388888888888</v>
      </c>
      <c r="L22" s="79">
        <f t="shared" si="8"/>
        <v>0.3951388888888888</v>
      </c>
      <c r="M22" s="80">
        <f t="shared" si="9"/>
        <v>2</v>
      </c>
      <c r="N22" s="83">
        <f>IF(H22="renege","",E22)</f>
        <v>0.00625</v>
      </c>
      <c r="O22" s="84">
        <f>IF(Simulation!L22="",Simulation!K22,Simulation!L22)</f>
        <v>0</v>
      </c>
      <c r="Q22" s="86">
        <f>IF(ISNUMBER(SMALL(Simulation!$G$12:Simulation!$H$26,11)),SMALL(Simulation!$G$12:Simulation!$H$26,11),1)</f>
        <v>0.3965277777777777</v>
      </c>
      <c r="R22" s="86">
        <f>IF(ISNUMBER(SMALL(Simulation!$I$12:Simulation!$J$26,11)),SMALL(Simulation!$I$12:Simulation!$J$26,11),1)</f>
        <v>1</v>
      </c>
    </row>
    <row r="23" spans="1:18" ht="12.75">
      <c r="A23" s="76">
        <f t="shared" si="10"/>
        <v>12</v>
      </c>
      <c r="B23" s="62">
        <f ca="1" t="shared" si="1"/>
        <v>1</v>
      </c>
      <c r="C23" s="79">
        <f t="shared" si="2"/>
        <v>0.0006944444444444445</v>
      </c>
      <c r="D23" s="62">
        <f ca="1" t="shared" si="3"/>
        <v>9</v>
      </c>
      <c r="E23" s="79">
        <f t="shared" si="4"/>
        <v>0.00625</v>
      </c>
      <c r="F23" s="79">
        <f t="shared" si="5"/>
        <v>0.39583333333333326</v>
      </c>
      <c r="G23" s="79">
        <f t="shared" si="6"/>
        <v>0.000694444444444442</v>
      </c>
      <c r="H23" s="80">
        <f t="shared" si="7"/>
      </c>
      <c r="I23" s="79">
        <f t="shared" si="0"/>
      </c>
      <c r="J23" s="79">
        <f>IF(ISTEXT(F23),"",MAX(Simulation!H$11:H22,start_time,$F23))</f>
        <v>0.3965277777777777</v>
      </c>
      <c r="K23" s="79">
        <f>IF(ISTEXT(F23),"",MAX(Simulation!J$11:J22,start_time,$F23))</f>
        <v>0.4013888888888888</v>
      </c>
      <c r="L23" s="79">
        <f t="shared" si="8"/>
        <v>0.3965277777777777</v>
      </c>
      <c r="M23" s="80">
        <f t="shared" si="9"/>
        <v>1</v>
      </c>
      <c r="N23" s="83">
        <f>IF(H23="renege","",E23)</f>
        <v>0.00625</v>
      </c>
      <c r="O23" s="84">
        <f>IF(Simulation!L23="",Simulation!K23,Simulation!L23)</f>
        <v>0.000694444444444442</v>
      </c>
      <c r="Q23" s="86">
        <f>IF(ISNUMBER(SMALL(Simulation!$G$12:Simulation!$H$26,12)),SMALL(Simulation!$G$12:Simulation!$H$26,12),1)</f>
        <v>0.4027777777777777</v>
      </c>
      <c r="R23" s="86">
        <f>IF(ISNUMBER(SMALL(Simulation!$I$12:Simulation!$J$26,12)),SMALL(Simulation!$I$12:Simulation!$J$26,12),1)</f>
        <v>1</v>
      </c>
    </row>
    <row r="24" spans="1:18" ht="12.75">
      <c r="A24" s="76">
        <f t="shared" si="10"/>
        <v>13</v>
      </c>
      <c r="B24" s="62">
        <f ca="1" t="shared" si="1"/>
        <v>1</v>
      </c>
      <c r="C24" s="79">
        <f t="shared" si="2"/>
        <v>0.0006944444444444445</v>
      </c>
      <c r="D24" s="62">
        <f ca="1" t="shared" si="3"/>
        <v>9</v>
      </c>
      <c r="E24" s="79">
        <f t="shared" si="4"/>
        <v>0.00625</v>
      </c>
      <c r="F24" s="79">
        <f t="shared" si="5"/>
        <v>0.3965277777777777</v>
      </c>
      <c r="G24" s="79">
        <f t="shared" si="6"/>
        <v>0.004861111111111094</v>
      </c>
      <c r="H24" s="80" t="str">
        <f t="shared" si="7"/>
        <v>renege</v>
      </c>
      <c r="I24" s="79">
        <f t="shared" si="0"/>
        <v>0.3979166666666666</v>
      </c>
      <c r="J24" s="79">
        <f>IF(ISTEXT(F24),"",MAX(Simulation!H$11:H23,start_time,$F24))</f>
        <v>0.4027777777777777</v>
      </c>
      <c r="K24" s="79">
        <f>IF(ISTEXT(F24),"",MAX(Simulation!J$11:J23,start_time,$F24))</f>
        <v>0.4013888888888888</v>
      </c>
      <c r="L24" s="79">
        <f t="shared" si="8"/>
        <v>0.4013888888888888</v>
      </c>
      <c r="M24" s="80">
        <f t="shared" si="9"/>
      </c>
      <c r="N24" s="83">
        <f>IF(H24="renege","",E24)</f>
      </c>
      <c r="O24" s="84">
        <f>IF(Simulation!L24="",Simulation!K24,Simulation!L24)</f>
        <v>0.001388888888888884</v>
      </c>
      <c r="Q24" s="86">
        <f>IF(ISNUMBER(SMALL(Simulation!$G$12:Simulation!$H$26,13)),SMALL(Simulation!$G$12:Simulation!$H$26,13),1)</f>
        <v>1</v>
      </c>
      <c r="R24" s="86">
        <f>IF(ISNUMBER(SMALL(Simulation!$I$12:Simulation!$J$26,13)),SMALL(Simulation!$I$12:Simulation!$J$26,13),1)</f>
        <v>1</v>
      </c>
    </row>
    <row r="25" spans="1:18" ht="12.75">
      <c r="A25" s="76">
        <f t="shared" si="10"/>
        <v>14</v>
      </c>
      <c r="B25" s="62">
        <f ca="1" t="shared" si="1"/>
        <v>1</v>
      </c>
      <c r="C25" s="79">
        <f t="shared" si="2"/>
        <v>0.0006944444444444445</v>
      </c>
      <c r="D25" s="62">
        <f ca="1" t="shared" si="3"/>
        <v>3</v>
      </c>
      <c r="E25" s="79">
        <f t="shared" si="4"/>
        <v>0.0020833333333333333</v>
      </c>
      <c r="F25" s="79">
        <f t="shared" si="5"/>
        <v>0.39722222222222214</v>
      </c>
      <c r="G25" s="79">
        <f t="shared" si="6"/>
        <v>0.004166666666666652</v>
      </c>
      <c r="H25" s="80" t="str">
        <f t="shared" si="7"/>
        <v>renege</v>
      </c>
      <c r="I25" s="79">
        <f t="shared" si="0"/>
        <v>0.398611111111111</v>
      </c>
      <c r="J25" s="79">
        <f>IF(ISTEXT(F25),"",MAX(Simulation!H$11:H24,start_time,$F25))</f>
        <v>0.4027777777777777</v>
      </c>
      <c r="K25" s="79">
        <f>IF(ISTEXT(F25),"",MAX(Simulation!J$11:J24,start_time,$F25))</f>
        <v>0.4013888888888888</v>
      </c>
      <c r="L25" s="79">
        <f t="shared" si="8"/>
        <v>0.4013888888888888</v>
      </c>
      <c r="M25" s="80">
        <f t="shared" si="9"/>
      </c>
      <c r="N25" s="83">
        <f>IF(H25="renege","",E25)</f>
      </c>
      <c r="O25" s="84">
        <f>IF(Simulation!L25="",Simulation!K25,Simulation!L25)</f>
        <v>0.001388888888888884</v>
      </c>
      <c r="Q25" s="86">
        <f>IF(ISNUMBER(SMALL(Simulation!$G$12:Simulation!$H$26,14)),SMALL(Simulation!$G$12:Simulation!$H$26,14),1)</f>
        <v>1</v>
      </c>
      <c r="R25" s="86">
        <f>IF(ISNUMBER(SMALL(Simulation!$I$12:Simulation!$J$26,14)),SMALL(Simulation!$I$12:Simulation!$J$26,14),1)</f>
        <v>1</v>
      </c>
    </row>
    <row r="26" spans="1:18" ht="12.75">
      <c r="A26" s="76">
        <f t="shared" si="10"/>
        <v>15</v>
      </c>
      <c r="B26" s="62">
        <f ca="1" t="shared" si="1"/>
        <v>1</v>
      </c>
      <c r="C26" s="79">
        <f t="shared" si="2"/>
        <v>0.0006944444444444445</v>
      </c>
      <c r="D26" s="62">
        <f ca="1" t="shared" si="3"/>
        <v>3</v>
      </c>
      <c r="E26" s="79">
        <f t="shared" si="4"/>
        <v>0.0020833333333333333</v>
      </c>
      <c r="F26" s="79">
        <f t="shared" si="5"/>
        <v>0.3979166666666666</v>
      </c>
      <c r="G26" s="79">
        <f t="shared" si="6"/>
        <v>0.00347222222222221</v>
      </c>
      <c r="H26" s="80" t="str">
        <f t="shared" si="7"/>
        <v>renege</v>
      </c>
      <c r="I26" s="79">
        <f t="shared" si="0"/>
        <v>0.39930555555555547</v>
      </c>
      <c r="J26" s="79">
        <f>IF(ISTEXT(F26),"",MAX(Simulation!H$11:H25,start_time,$F26))</f>
        <v>0.4027777777777777</v>
      </c>
      <c r="K26" s="79">
        <f>IF(ISTEXT(F26),"",MAX(Simulation!J$11:J25,start_time,$F26))</f>
        <v>0.4013888888888888</v>
      </c>
      <c r="L26" s="79">
        <f t="shared" si="8"/>
        <v>0.4013888888888888</v>
      </c>
      <c r="M26" s="80">
        <f t="shared" si="9"/>
      </c>
      <c r="N26" s="83">
        <f>IF(H26="renege","",E26)</f>
      </c>
      <c r="O26" s="84">
        <f>IF(Simulation!L26="",Simulation!K26,Simulation!L26)</f>
        <v>0.001388888888888884</v>
      </c>
      <c r="Q26" s="86">
        <f>IF(ISNUMBER(SMALL(Simulation!$G$12:Simulation!$H$26,15)),SMALL(Simulation!$G$12:Simulation!$H$26,15),1)</f>
        <v>1</v>
      </c>
      <c r="R26" s="86">
        <f>IF(ISNUMBER(SMALL(Simulation!$I$12:Simulation!$J$26,15)),SMALL(Simulation!$I$12:Simulation!$J$26,15),1)</f>
        <v>1</v>
      </c>
    </row>
    <row r="27" spans="17:18" ht="12.75">
      <c r="Q27" s="86">
        <f>IF(ISNUMBER(SMALL(Simulation!$G$12:Simulation!$H$26,16)),SMALL(Simulation!$G$12:Simulation!$H$26,16),1)</f>
        <v>1</v>
      </c>
      <c r="R27" s="86">
        <f>IF(ISNUMBER(SMALL(Simulation!$I$12:Simulation!$J$26,16)),SMALL(Simulation!$I$12:Simulation!$J$26,16),1)</f>
        <v>1</v>
      </c>
    </row>
    <row r="28" spans="6:18" ht="12.75">
      <c r="F28" s="58"/>
      <c r="J28" s="53"/>
      <c r="K28" s="53"/>
      <c r="Q28" s="86">
        <f>IF(ISNUMBER(SMALL(Simulation!$G$12:Simulation!$H$26,17)),SMALL(Simulation!$G$12:Simulation!$H$26,17),1)</f>
        <v>1</v>
      </c>
      <c r="R28" s="86">
        <f>IF(ISNUMBER(SMALL(Simulation!$I$12:Simulation!$J$26,17)),SMALL(Simulation!$I$12:Simulation!$J$26,17),1)</f>
        <v>1</v>
      </c>
    </row>
    <row r="29" spans="17:18" ht="12.75">
      <c r="Q29" s="86">
        <f>IF(ISNUMBER(SMALL(Simulation!$G$12:Simulation!$H$26,18)),SMALL(Simulation!$G$12:Simulation!$H$26,18),1)</f>
        <v>1</v>
      </c>
      <c r="R29" s="86">
        <f>IF(ISNUMBER(SMALL(Simulation!$I$12:Simulation!$J$26,18)),SMALL(Simulation!$I$12:Simulation!$J$26,18),1)</f>
        <v>1</v>
      </c>
    </row>
    <row r="30" spans="17:18" ht="12.75">
      <c r="Q30" s="86">
        <f>IF(ISNUMBER(SMALL(Simulation!$G$12:Simulation!$H$26,19)),SMALL(Simulation!$G$12:Simulation!$H$26,19),1)</f>
        <v>1</v>
      </c>
      <c r="R30" s="86">
        <f>IF(ISNUMBER(SMALL(Simulation!$I$12:Simulation!$J$26,19)),SMALL(Simulation!$I$12:Simulation!$J$26,19),1)</f>
        <v>1</v>
      </c>
    </row>
    <row r="31" spans="17:18" ht="12.75">
      <c r="Q31" s="86">
        <f>IF(ISNUMBER(SMALL(Simulation!$G$12:Simulation!$H$26,20)),SMALL(Simulation!$G$12:Simulation!$H$26,20),1)</f>
        <v>1</v>
      </c>
      <c r="R31" s="86">
        <f>IF(ISNUMBER(SMALL(Simulation!$I$12:Simulation!$J$26,20)),SMALL(Simulation!$I$12:Simulation!$J$26,20),1)</f>
        <v>1</v>
      </c>
    </row>
    <row r="32" spans="17:18" ht="12.75">
      <c r="Q32" s="86">
        <f>IF(ISNUMBER(SMALL(Simulation!$G$12:Simulation!$H$26,21)),SMALL(Simulation!$G$12:Simulation!$H$26,21),1)</f>
        <v>1</v>
      </c>
      <c r="R32" s="86">
        <f>IF(ISNUMBER(SMALL(Simulation!$I$12:Simulation!$J$26,21)),SMALL(Simulation!$I$12:Simulation!$J$26,21),1)</f>
        <v>1</v>
      </c>
    </row>
    <row r="33" spans="17:18" ht="12.75">
      <c r="Q33" s="86">
        <f>IF(ISNUMBER(SMALL(Simulation!$G$12:Simulation!$H$26,22)),SMALL(Simulation!$G$12:Simulation!$H$26,22),1)</f>
        <v>1</v>
      </c>
      <c r="R33" s="86">
        <f>IF(ISNUMBER(SMALL(Simulation!$I$12:Simulation!$J$26,22)),SMALL(Simulation!$I$12:Simulation!$J$26,22),1)</f>
        <v>1</v>
      </c>
    </row>
    <row r="34" spans="17:18" ht="12.75">
      <c r="Q34" s="86">
        <f>IF(ISNUMBER(SMALL(Simulation!$G$12:Simulation!$H$26,23)),SMALL(Simulation!$G$12:Simulation!$H$26,23),1)</f>
        <v>1</v>
      </c>
      <c r="R34" s="86">
        <f>IF(ISNUMBER(SMALL(Simulation!$I$12:Simulation!$J$26,23)),SMALL(Simulation!$I$12:Simulation!$J$26,23),1)</f>
        <v>1</v>
      </c>
    </row>
    <row r="35" spans="17:18" ht="12.75">
      <c r="Q35" s="86">
        <f>IF(ISNUMBER(SMALL(Simulation!$G$12:Simulation!$H$26,24)),SMALL(Simulation!$G$12:Simulation!$H$26,24),1)</f>
        <v>1</v>
      </c>
      <c r="R35" s="86">
        <f>IF(ISNUMBER(SMALL(Simulation!$I$12:Simulation!$J$26,24)),SMALL(Simulation!$I$12:Simulation!$J$26,24),1)</f>
        <v>1</v>
      </c>
    </row>
    <row r="36" spans="17:18" ht="12.75">
      <c r="Q36" s="86">
        <f>IF(ISNUMBER(SMALL(Simulation!$G$12:Simulation!$H$26,25)),SMALL(Simulation!$G$12:Simulation!$H$26,25),1)</f>
        <v>1</v>
      </c>
      <c r="R36" s="86">
        <f>IF(ISNUMBER(SMALL(Simulation!$I$12:Simulation!$J$26,25)),SMALL(Simulation!$I$12:Simulation!$J$26,25),1)</f>
        <v>1</v>
      </c>
    </row>
    <row r="37" spans="17:18" ht="12.75">
      <c r="Q37" s="86">
        <f>IF(ISNUMBER(SMALL(Simulation!$G$12:Simulation!$H$26,26)),SMALL(Simulation!$G$12:Simulation!$H$26,26),1)</f>
        <v>1</v>
      </c>
      <c r="R37" s="86">
        <f>IF(ISNUMBER(SMALL(Simulation!$I$12:Simulation!$J$26,26)),SMALL(Simulation!$I$12:Simulation!$J$26,26),1)</f>
        <v>1</v>
      </c>
    </row>
    <row r="38" spans="17:18" ht="12.75">
      <c r="Q38" s="86">
        <f>IF(ISNUMBER(SMALL(Simulation!$G$12:Simulation!$H$26,27)),SMALL(Simulation!$G$12:Simulation!$H$26,27),1)</f>
        <v>1</v>
      </c>
      <c r="R38" s="86">
        <f>IF(ISNUMBER(SMALL(Simulation!$I$12:Simulation!$J$26,27)),SMALL(Simulation!$I$12:Simulation!$J$26,27),1)</f>
        <v>1</v>
      </c>
    </row>
    <row r="39" spans="17:18" ht="12.75">
      <c r="Q39" s="86">
        <f>IF(ISNUMBER(SMALL(Simulation!$G$12:Simulation!$H$26,28)),SMALL(Simulation!$G$12:Simulation!$H$26,28),1)</f>
        <v>1</v>
      </c>
      <c r="R39" s="86">
        <f>IF(ISNUMBER(SMALL(Simulation!$I$12:Simulation!$J$26,28)),SMALL(Simulation!$I$12:Simulation!$J$26,28),1)</f>
        <v>1</v>
      </c>
    </row>
    <row r="40" spans="17:18" ht="12.75">
      <c r="Q40" s="86">
        <f>IF(ISNUMBER(SMALL(Simulation!$G$12:Simulation!$H$26,29)),SMALL(Simulation!$G$12:Simulation!$H$26,29),1)</f>
        <v>1</v>
      </c>
      <c r="R40" s="86">
        <f>IF(ISNUMBER(SMALL(Simulation!$I$12:Simulation!$J$26,29)),SMALL(Simulation!$I$12:Simulation!$J$26,29),1)</f>
        <v>1</v>
      </c>
    </row>
    <row r="41" spans="17:18" ht="12.75">
      <c r="Q41" s="86">
        <f>IF(ISNUMBER(SMALL(Simulation!$G$12:Simulation!$H$26,30)),SMALL(Simulation!$G$12:Simulation!$H$26,30),1)</f>
        <v>1</v>
      </c>
      <c r="R41" s="86">
        <f>IF(ISNUMBER(SMALL(Simulation!$I$12:Simulation!$J$26,30)),SMALL(Simulation!$I$12:Simulation!$J$26,30),1)</f>
        <v>1</v>
      </c>
    </row>
  </sheetData>
  <printOptions gridLines="1" headings="1"/>
  <pageMargins left="0.25" right="0.2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71" t="s">
        <v>74</v>
      </c>
    </row>
    <row r="2" ht="15.75">
      <c r="A2" s="72" t="s">
        <v>43</v>
      </c>
    </row>
    <row r="3" ht="12.75" customHeight="1">
      <c r="B3" s="73" t="s">
        <v>44</v>
      </c>
    </row>
    <row r="4" ht="12.75" customHeight="1">
      <c r="B4" s="73"/>
    </row>
    <row r="5" ht="12.75">
      <c r="A5" s="74" t="s">
        <v>45</v>
      </c>
    </row>
    <row r="6" ht="12.75">
      <c r="A6" t="s">
        <v>46</v>
      </c>
    </row>
    <row r="7" ht="12.75">
      <c r="A7" t="s">
        <v>47</v>
      </c>
    </row>
    <row r="8" ht="12.75">
      <c r="A8" t="s">
        <v>48</v>
      </c>
    </row>
    <row r="10" ht="12.75">
      <c r="A10" s="74" t="s">
        <v>49</v>
      </c>
    </row>
    <row r="11" ht="12.75">
      <c r="A11" t="s">
        <v>50</v>
      </c>
    </row>
    <row r="12" ht="12.75">
      <c r="A12" t="s">
        <v>75</v>
      </c>
    </row>
    <row r="13" ht="12.75">
      <c r="A13" t="s">
        <v>51</v>
      </c>
    </row>
    <row r="14" ht="12.75">
      <c r="A14" t="s">
        <v>52</v>
      </c>
    </row>
    <row r="15" ht="12.75">
      <c r="A15" t="s">
        <v>53</v>
      </c>
    </row>
    <row r="16" ht="12.75">
      <c r="A16" t="s">
        <v>54</v>
      </c>
    </row>
    <row r="17" ht="12.75">
      <c r="A17" t="s">
        <v>55</v>
      </c>
    </row>
    <row r="18" ht="12.75">
      <c r="A18" t="s">
        <v>76</v>
      </c>
    </row>
    <row r="19" ht="12.75">
      <c r="A19" t="s">
        <v>77</v>
      </c>
    </row>
    <row r="20" ht="12.75">
      <c r="A20" t="s">
        <v>56</v>
      </c>
    </row>
    <row r="22" ht="12.75">
      <c r="A22" s="74" t="s">
        <v>57</v>
      </c>
    </row>
    <row r="23" ht="12.75">
      <c r="A23" t="s">
        <v>78</v>
      </c>
    </row>
    <row r="24" ht="12.75">
      <c r="A24" t="s">
        <v>79</v>
      </c>
    </row>
    <row r="25" ht="12.75">
      <c r="A25" t="s">
        <v>75</v>
      </c>
    </row>
    <row r="26" ht="12.75">
      <c r="A26" t="s">
        <v>58</v>
      </c>
    </row>
    <row r="27" ht="12.75">
      <c r="A27" t="s">
        <v>59</v>
      </c>
    </row>
    <row r="29" ht="12.75">
      <c r="A29" s="74" t="s">
        <v>60</v>
      </c>
    </row>
    <row r="30" ht="12.75">
      <c r="A30" t="s">
        <v>61</v>
      </c>
    </row>
    <row r="31" ht="12.75">
      <c r="A31" t="s">
        <v>62</v>
      </c>
    </row>
    <row r="32" ht="12.75">
      <c r="A32" t="s">
        <v>63</v>
      </c>
    </row>
    <row r="34" ht="12.75">
      <c r="A34" s="74" t="s">
        <v>64</v>
      </c>
    </row>
    <row r="35" ht="12.75">
      <c r="A35" t="s">
        <v>80</v>
      </c>
    </row>
    <row r="36" ht="12.75">
      <c r="A36" t="s">
        <v>65</v>
      </c>
    </row>
    <row r="37" ht="12.75">
      <c r="A37" t="s">
        <v>66</v>
      </c>
    </row>
    <row r="38" ht="12.75">
      <c r="A38" t="s">
        <v>67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3" ht="12.75">
      <c r="A43" s="74" t="s">
        <v>68</v>
      </c>
    </row>
    <row r="44" ht="12.75">
      <c r="A44" t="s">
        <v>84</v>
      </c>
    </row>
    <row r="45" ht="12.75">
      <c r="A45" t="s">
        <v>69</v>
      </c>
    </row>
    <row r="46" ht="12.75">
      <c r="A46" t="s">
        <v>70</v>
      </c>
    </row>
    <row r="47" ht="12.75">
      <c r="A47" t="s">
        <v>71</v>
      </c>
    </row>
    <row r="48" ht="12.75">
      <c r="A48" t="s">
        <v>72</v>
      </c>
    </row>
    <row r="50" ht="12.75">
      <c r="A50" s="74" t="s">
        <v>73</v>
      </c>
    </row>
    <row r="51" ht="12.75">
      <c r="A51" t="s">
        <v>85</v>
      </c>
    </row>
    <row r="52" ht="12.75">
      <c r="A52" t="s">
        <v>86</v>
      </c>
    </row>
    <row r="54" ht="12.75">
      <c r="A54" s="81" t="s">
        <v>87</v>
      </c>
    </row>
    <row r="55" ht="12.75">
      <c r="A55" t="s">
        <v>88</v>
      </c>
    </row>
    <row r="56" ht="12.75">
      <c r="A56" t="s">
        <v>89</v>
      </c>
    </row>
    <row r="57" ht="12.75">
      <c r="A57" t="s">
        <v>90</v>
      </c>
    </row>
    <row r="58" ht="12.75">
      <c r="A58" t="s">
        <v>91</v>
      </c>
    </row>
    <row r="60" ht="12.75">
      <c r="A60" s="75" t="s">
        <v>92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2001-09-17T02:54:51Z</dcterms:created>
  <dcterms:modified xsi:type="dcterms:W3CDTF">2001-09-17T14:37:10Z</dcterms:modified>
  <cp:category/>
  <cp:version/>
  <cp:contentType/>
  <cp:contentStatus/>
</cp:coreProperties>
</file>