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renege_time">'Computations'!$E$2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<sst xmlns="http://schemas.openxmlformats.org/spreadsheetml/2006/main" count="273" uniqueCount="134">
  <si>
    <t>Spreadsheet Simulation Queueing Engine:  12 Servers with Balking and Reneging</t>
  </si>
  <si>
    <t>Start Time</t>
  </si>
  <si>
    <t>Close Time</t>
  </si>
  <si>
    <t>Balk if queue length is or exceeds</t>
  </si>
  <si>
    <t>Renege if waiting time exceeds</t>
  </si>
  <si>
    <t>minute(s)</t>
  </si>
  <si>
    <t>Interarrival Time Probability Distribution</t>
  </si>
  <si>
    <t>Service Time Probability Distribution</t>
  </si>
  <si>
    <t>Lower</t>
  </si>
  <si>
    <t>Upper</t>
  </si>
  <si>
    <t>Interarrival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</si>
  <si>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</si>
  <si>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</si>
  <si>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</si>
  <si>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</si>
  <si>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</si>
  <si>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</si>
  <si>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</si>
  <si>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</si>
  <si>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</si>
  <si>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>Renege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</si>
  <si>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</si>
  <si>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</si>
  <si>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</si>
  <si>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</si>
  <si>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</si>
  <si>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</si>
  <si>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</si>
  <si>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</si>
  <si>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</si>
  <si>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Server #10</t>
  </si>
  <si>
    <t>Server #11</t>
  </si>
  <si>
    <t>Server #12</t>
  </si>
  <si>
    <t>Wait</t>
  </si>
  <si>
    <t>Total</t>
  </si>
  <si>
    <t>#</t>
  </si>
  <si>
    <t>at Arrival</t>
  </si>
  <si>
    <t>Balk?</t>
  </si>
  <si>
    <t>Renege?</t>
  </si>
  <si>
    <t>Depart</t>
  </si>
  <si>
    <t>Start</t>
  </si>
  <si>
    <t>End</t>
  </si>
  <si>
    <t>Wait Time</t>
  </si>
  <si>
    <t>(hr:min)</t>
  </si>
  <si>
    <t>(# cust.)</t>
  </si>
  <si>
    <t>start</t>
  </si>
  <si>
    <t>renege_time(serial) (Named "renege_time")</t>
  </si>
  <si>
    <t xml:space="preserve">Interarrival </t>
  </si>
  <si>
    <t>Potential</t>
  </si>
  <si>
    <t xml:space="preserve">Service </t>
  </si>
  <si>
    <t>#1Start</t>
  </si>
  <si>
    <t>#2 Start</t>
  </si>
  <si>
    <t>#3 Start</t>
  </si>
  <si>
    <t>#4Start</t>
  </si>
  <si>
    <t>#5Start</t>
  </si>
  <si>
    <t>#6Start</t>
  </si>
  <si>
    <t>#7Start</t>
  </si>
  <si>
    <t>#8Start</t>
  </si>
  <si>
    <t>#9Start</t>
  </si>
  <si>
    <t>#10Start</t>
  </si>
  <si>
    <t>#11Start</t>
  </si>
  <si>
    <t>#12Start</t>
  </si>
  <si>
    <t>Earliest</t>
  </si>
  <si>
    <t>Actual</t>
  </si>
  <si>
    <t xml:space="preserve">Next </t>
  </si>
  <si>
    <t>User Input</t>
  </si>
  <si>
    <t>time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</si>
  <si>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</si>
  <si>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</si>
  <si>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</si>
  <si>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</si>
  <si>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</si>
  <si>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</si>
  <si>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</si>
  <si>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</si>
  <si>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</si>
  <si>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</si>
  <si>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</si>
  <si>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</si>
  <si>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</si>
  <si>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</si>
  <si>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</si>
  <si>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</si>
  <si>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</si>
  <si>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</si>
  <si>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</si>
  <si>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</si>
  <si>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</si>
  <si>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</si>
  <si>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</si>
  <si>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</si>
  <si>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</si>
  <si>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</si>
  <si>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</si>
  <si>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</si>
  <si>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</si>
  <si>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</si>
  <si>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</si>
  <si>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</si>
  <si>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</si>
  <si>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</si>
  <si>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</si>
  <si>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</si>
  <si>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</si>
  <si>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</si>
  <si>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</si>
  <si>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</si>
  <si>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</si>
  <si>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</si>
  <si>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</si>
  <si>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</si>
  <si>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</si>
  <si>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</si>
  <si>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</si>
  <si>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</si>
  <si>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</si>
  <si>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</si>
  <si>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</si>
  <si>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</si>
  <si>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Departures)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</si>
  <si>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</si>
  <si>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</si>
  <si>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</si>
  <si>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</si>
  <si>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</si>
  <si>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</si>
  <si>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</si>
  <si>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</si>
  <si>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</si>
  <si>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</si>
  <si>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</si>
  <si>
    <t>Server 10</t>
  </si>
  <si>
    <t>Server 11</t>
  </si>
  <si>
    <t>Server 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</si>
</sst>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20" fontId="6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2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/>
      <protection locked="0"/>
    </xf>
    <xf numFmtId="20" fontId="5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20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0.3763888888888889</c:v>
                </c:pt>
                <c:pt idx="1">
                  <c:v>0.37777777777777777</c:v>
                </c:pt>
                <c:pt idx="2">
                  <c:v>0.37916666666666665</c:v>
                </c:pt>
                <c:pt idx="3">
                  <c:v>0.38055555555555554</c:v>
                </c:pt>
                <c:pt idx="4">
                  <c:v>0.38263888888888886</c:v>
                </c:pt>
                <c:pt idx="5">
                  <c:v>0.38541666666666663</c:v>
                </c:pt>
                <c:pt idx="6">
                  <c:v>0.3881944444444444</c:v>
                </c:pt>
                <c:pt idx="7">
                  <c:v>0.3895833333333333</c:v>
                </c:pt>
                <c:pt idx="8">
                  <c:v>0.39236111111111105</c:v>
                </c:pt>
                <c:pt idx="9">
                  <c:v>0.39374999999999993</c:v>
                </c:pt>
                <c:pt idx="10">
                  <c:v>0.3951388888888888</c:v>
                </c:pt>
                <c:pt idx="11">
                  <c:v>0.3965277777777777</c:v>
                </c:pt>
                <c:pt idx="12">
                  <c:v>0.3979166666666666</c:v>
                </c:pt>
                <c:pt idx="13">
                  <c:v>0.40069444444444435</c:v>
                </c:pt>
                <c:pt idx="14">
                  <c:v>0.4013888888888888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Computations!$AB$12:$AB$26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Computations!$AA$12:$AA$26</c:f>
              <c:numCache>
                <c:ptCount val="15"/>
                <c:pt idx="0">
                  <c:v>0.013888888888888888</c:v>
                </c:pt>
                <c:pt idx="1">
                  <c:v>0.010416666666666666</c:v>
                </c:pt>
                <c:pt idx="2">
                  <c:v>0.013888888888888888</c:v>
                </c:pt>
                <c:pt idx="3">
                  <c:v>0.006944444444444444</c:v>
                </c:pt>
                <c:pt idx="4">
                  <c:v>0.013888888888888888</c:v>
                </c:pt>
                <c:pt idx="5">
                  <c:v>0.010416666666666666</c:v>
                </c:pt>
                <c:pt idx="6">
                  <c:v>0.010416666666666666</c:v>
                </c:pt>
                <c:pt idx="7">
                  <c:v>0.010416666666666666</c:v>
                </c:pt>
                <c:pt idx="8">
                  <c:v>0.010416666666666666</c:v>
                </c:pt>
                <c:pt idx="9">
                  <c:v>0.010416666666666666</c:v>
                </c:pt>
                <c:pt idx="10">
                  <c:v>0.010416666666666666</c:v>
                </c:pt>
                <c:pt idx="11">
                  <c:v>0.006944444444444444</c:v>
                </c:pt>
                <c:pt idx="12">
                  <c:v>0.010416666666666666</c:v>
                </c:pt>
                <c:pt idx="13">
                  <c:v>0.013888888888888888</c:v>
                </c:pt>
                <c:pt idx="14">
                  <c:v>0.010416666666666666</c:v>
                </c:pt>
              </c:numCache>
            </c:numRef>
          </c:val>
        </c:ser>
        <c:overlap val="100"/>
        <c:gapWidth val="0"/>
        <c:axId val="16341501"/>
        <c:axId val="12855782"/>
      </c:barChart>
      <c:catAx>
        <c:axId val="1634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5782"/>
        <c:crosses val="autoZero"/>
        <c:auto val="1"/>
        <c:lblOffset val="100"/>
        <c:noMultiLvlLbl val="0"/>
      </c:catAx>
      <c:valAx>
        <c:axId val="12855782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41501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Computations!$AD$41:$AO$41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Computations!$AD$40:$AO$40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Computations!$AD$39:$AO$39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Computations!$AD$38:$AO$38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Computations!$AD$37:$AO$37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Computations!$AD$36:$AO$36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Computations!$AD$35:$AO$35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Computations!$AD$34:$AO$34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Computations!$AD$33:$AO$33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Computations!$AD$32:$AO$32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Computations!$AD$31:$AO$31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Computations!$AD$30:$AO$30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Computations!$AD$29:$AO$29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Computations!$AD$28:$AO$28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Computations!$AD$27:$AO$27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Computations!$AD$26:$AO$26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Computations!$AD$25:$AO$25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Computations!$AD$24:$AO$24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Computations!$AD$23:$AO$23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Computations!$AD$22:$AO$22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Computations!$AD$21:$AO$21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Computations!$AD$20:$AO$20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Computations!$AD$19:$AO$19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Computations!$AD$18:$AO$18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Computations!$AD$17:$AO$17</c:f>
              <c:numCache>
                <c:ptCount val="12"/>
                <c:pt idx="0">
                  <c:v>1</c:v>
                </c:pt>
                <c:pt idx="1">
                  <c:v>0.41458333333333325</c:v>
                </c:pt>
                <c:pt idx="2">
                  <c:v>1</c:v>
                </c:pt>
                <c:pt idx="3">
                  <c:v>0.4118055555555555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Computations!$AD$16:$AO$16</c:f>
              <c:numCache>
                <c:ptCount val="12"/>
                <c:pt idx="0">
                  <c:v>1</c:v>
                </c:pt>
                <c:pt idx="1">
                  <c:v>0.40069444444444435</c:v>
                </c:pt>
                <c:pt idx="2">
                  <c:v>1</c:v>
                </c:pt>
                <c:pt idx="3">
                  <c:v>0.4013888888888888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Computations!$AD$15:$AO$15</c:f>
              <c:numCache>
                <c:ptCount val="12"/>
                <c:pt idx="0">
                  <c:v>0.40277777777777773</c:v>
                </c:pt>
                <c:pt idx="1">
                  <c:v>0.39999999999999997</c:v>
                </c:pt>
                <c:pt idx="2">
                  <c:v>0.4041666666666666</c:v>
                </c:pt>
                <c:pt idx="3">
                  <c:v>0.3986111111111111</c:v>
                </c:pt>
                <c:pt idx="4">
                  <c:v>0.40833333333333327</c:v>
                </c:pt>
                <c:pt idx="5">
                  <c:v>0.4034722222222221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Computations!$AD$14:$AO$14</c:f>
              <c:numCache>
                <c:ptCount val="12"/>
                <c:pt idx="0">
                  <c:v>0.39236111111111105</c:v>
                </c:pt>
                <c:pt idx="1">
                  <c:v>0.3895833333333333</c:v>
                </c:pt>
                <c:pt idx="2">
                  <c:v>0.39374999999999993</c:v>
                </c:pt>
                <c:pt idx="3">
                  <c:v>0.3881944444444444</c:v>
                </c:pt>
                <c:pt idx="4">
                  <c:v>0.3979166666666666</c:v>
                </c:pt>
                <c:pt idx="5">
                  <c:v>0.3965277777777777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Computations!$AD$13:$AO$13</c:f>
              <c:numCache>
                <c:ptCount val="12"/>
                <c:pt idx="0">
                  <c:v>0.3902777777777778</c:v>
                </c:pt>
                <c:pt idx="1">
                  <c:v>0.38819444444444445</c:v>
                </c:pt>
                <c:pt idx="2">
                  <c:v>0.39305555555555555</c:v>
                </c:pt>
                <c:pt idx="3">
                  <c:v>0.38749999999999996</c:v>
                </c:pt>
                <c:pt idx="4">
                  <c:v>0.39652777777777776</c:v>
                </c:pt>
                <c:pt idx="5">
                  <c:v>0.3958333333333333</c:v>
                </c:pt>
                <c:pt idx="6">
                  <c:v>0.4055555555555555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Computations!$AD$11:$AO$11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Computations!$AD$12:$AO$12</c:f>
              <c:numCache>
                <c:ptCount val="12"/>
                <c:pt idx="0">
                  <c:v>0.3763888888888889</c:v>
                </c:pt>
                <c:pt idx="1">
                  <c:v>0.37777777777777777</c:v>
                </c:pt>
                <c:pt idx="2">
                  <c:v>0.37916666666666665</c:v>
                </c:pt>
                <c:pt idx="3">
                  <c:v>0.38055555555555554</c:v>
                </c:pt>
                <c:pt idx="4">
                  <c:v>0.38263888888888886</c:v>
                </c:pt>
                <c:pt idx="5">
                  <c:v>0.38541666666666663</c:v>
                </c:pt>
                <c:pt idx="6">
                  <c:v>0.3951388888888888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overlap val="100"/>
        <c:axId val="48593175"/>
        <c:axId val="34685392"/>
      </c:barChart>
      <c:catAx>
        <c:axId val="48593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85392"/>
        <c:crosses val="autoZero"/>
        <c:auto val="1"/>
        <c:lblOffset val="100"/>
        <c:noMultiLvlLbl val="0"/>
      </c:catAx>
      <c:valAx>
        <c:axId val="34685392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93175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123825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27</xdr:row>
      <xdr:rowOff>104775</xdr:rowOff>
    </xdr:from>
    <xdr:to>
      <xdr:col>20</xdr:col>
      <xdr:colOff>247650</xdr:colOff>
      <xdr:row>50</xdr:row>
      <xdr:rowOff>152400</xdr:rowOff>
    </xdr:to>
    <xdr:graphicFrame>
      <xdr:nvGraphicFramePr>
        <xdr:cNvPr id="2" name="Chart 3"/>
        <xdr:cNvGraphicFramePr/>
      </xdr:nvGraphicFramePr>
      <xdr:xfrm>
        <a:off x="6219825" y="448627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workbookViewId="0" topLeftCell="A1">
      <selection activeCell="C5" sqref="C5"/>
    </sheetView>
  </sheetViews>
  <sheetFormatPr defaultColWidth="9.140625" defaultRowHeight="12.75"/>
  <cols>
    <col min="1" max="1" width="10.7109375" style="13" customWidth="1"/>
    <col min="2" max="3" width="8.8515625" style="13" customWidth="1"/>
    <col min="4" max="4" width="12.140625" style="13" customWidth="1"/>
    <col min="5" max="5" width="10.00390625" style="13" customWidth="1"/>
    <col min="6" max="6" width="12.00390625" style="13" customWidth="1"/>
    <col min="7" max="7" width="11.7109375" style="13" customWidth="1"/>
    <col min="8" max="8" width="9.7109375" style="13" customWidth="1"/>
    <col min="9" max="9" width="9.57421875" style="13" customWidth="1"/>
    <col min="10" max="255" width="8.8515625" style="13" customWidth="1"/>
    <col min="256" max="16384" width="9.140625" style="13" customWidth="1"/>
  </cols>
  <sheetData>
    <row r="1" spans="1:10" s="10" customFormat="1" ht="21.75" customHeight="1" thickBot="1">
      <c r="A1" s="6" t="s">
        <v>0</v>
      </c>
      <c r="B1" s="7"/>
      <c r="C1" s="7"/>
      <c r="D1" s="8"/>
      <c r="E1" s="8"/>
      <c r="F1" s="8"/>
      <c r="G1" s="8"/>
      <c r="H1" s="7"/>
      <c r="I1" s="7"/>
      <c r="J1" s="9"/>
    </row>
    <row r="2" spans="1:7" ht="12.75">
      <c r="A2" s="11"/>
      <c r="B2" s="11"/>
      <c r="C2" s="11"/>
      <c r="D2" s="12"/>
      <c r="E2" s="12"/>
      <c r="F2" s="12"/>
      <c r="G2" s="12"/>
    </row>
    <row r="3" spans="1:8" ht="13.5" thickBot="1">
      <c r="A3" s="14" t="s">
        <v>1</v>
      </c>
      <c r="B3" s="11"/>
      <c r="C3" s="15" t="s">
        <v>2</v>
      </c>
      <c r="E3" s="16" t="s">
        <v>3</v>
      </c>
      <c r="F3" s="14"/>
      <c r="G3" s="12"/>
      <c r="H3" s="14" t="s">
        <v>4</v>
      </c>
    </row>
    <row r="4" spans="1:9" ht="13.5" thickBot="1">
      <c r="A4" s="17">
        <v>0.375</v>
      </c>
      <c r="B4" s="11"/>
      <c r="C4" s="17">
        <v>0.4166666666666667</v>
      </c>
      <c r="E4" s="18">
        <v>1</v>
      </c>
      <c r="F4" s="19"/>
      <c r="H4" s="20">
        <v>2</v>
      </c>
      <c r="I4" s="14" t="s">
        <v>5</v>
      </c>
    </row>
    <row r="6" ht="12.75">
      <c r="I6" s="21"/>
    </row>
    <row r="7" spans="1:9" ht="13.5" thickBot="1">
      <c r="A7" s="22" t="s">
        <v>6</v>
      </c>
      <c r="B7" s="22"/>
      <c r="C7" s="22"/>
      <c r="D7" s="22"/>
      <c r="E7" s="23"/>
      <c r="F7" s="24" t="s">
        <v>7</v>
      </c>
      <c r="G7" s="22"/>
      <c r="H7" s="22"/>
      <c r="I7" s="22"/>
    </row>
    <row r="8" spans="1:9" ht="12.75">
      <c r="A8" s="25"/>
      <c r="B8" s="26" t="s">
        <v>8</v>
      </c>
      <c r="C8" s="26" t="s">
        <v>9</v>
      </c>
      <c r="D8" s="27" t="s">
        <v>10</v>
      </c>
      <c r="E8" s="23"/>
      <c r="F8" s="25"/>
      <c r="G8" s="26" t="s">
        <v>8</v>
      </c>
      <c r="H8" s="26" t="s">
        <v>9</v>
      </c>
      <c r="I8" s="27" t="s">
        <v>11</v>
      </c>
    </row>
    <row r="9" spans="1:9" ht="12.75">
      <c r="A9" s="28" t="s">
        <v>12</v>
      </c>
      <c r="B9" s="29" t="s">
        <v>13</v>
      </c>
      <c r="C9" s="29" t="s">
        <v>13</v>
      </c>
      <c r="D9" s="30" t="s">
        <v>14</v>
      </c>
      <c r="E9" s="23"/>
      <c r="F9" s="28" t="s">
        <v>12</v>
      </c>
      <c r="G9" s="29" t="s">
        <v>13</v>
      </c>
      <c r="H9" s="29" t="s">
        <v>13</v>
      </c>
      <c r="I9" s="30" t="s">
        <v>14</v>
      </c>
    </row>
    <row r="10" spans="1:9" ht="13.5" thickBot="1">
      <c r="A10" s="31"/>
      <c r="B10" s="32"/>
      <c r="C10" s="32"/>
      <c r="D10" s="33" t="s">
        <v>15</v>
      </c>
      <c r="E10" s="23"/>
      <c r="F10" s="34"/>
      <c r="G10" s="32"/>
      <c r="H10" s="32"/>
      <c r="I10" s="33" t="s">
        <v>15</v>
      </c>
    </row>
    <row r="11" spans="1:9" ht="12.75">
      <c r="A11" s="35">
        <v>0.45</v>
      </c>
      <c r="B11" s="36">
        <v>0</v>
      </c>
      <c r="C11" s="46">
        <f>B11+A11</f>
        <v>0.45</v>
      </c>
      <c r="D11" s="37">
        <v>1</v>
      </c>
      <c r="E11" s="23"/>
      <c r="F11" s="35">
        <v>0.3</v>
      </c>
      <c r="G11" s="36">
        <v>0</v>
      </c>
      <c r="H11" s="46">
        <f>G11+F11</f>
        <v>0.3</v>
      </c>
      <c r="I11" s="37">
        <v>10</v>
      </c>
    </row>
    <row r="12" spans="1:9" ht="12.75">
      <c r="A12" s="35">
        <v>0.25</v>
      </c>
      <c r="B12" s="36">
        <f>C11</f>
        <v>0.45</v>
      </c>
      <c r="C12" s="46">
        <f>B12+A12</f>
        <v>0.7</v>
      </c>
      <c r="D12" s="37">
        <v>2</v>
      </c>
      <c r="E12" s="23"/>
      <c r="F12" s="35">
        <v>0.35</v>
      </c>
      <c r="G12" s="36">
        <f>H11</f>
        <v>0.3</v>
      </c>
      <c r="H12" s="46">
        <f>G12+F12</f>
        <v>0.6499999999999999</v>
      </c>
      <c r="I12" s="37">
        <v>15</v>
      </c>
    </row>
    <row r="13" spans="1:9" ht="13.5" thickBot="1">
      <c r="A13" s="35">
        <v>0.1</v>
      </c>
      <c r="B13" s="36">
        <f>C12</f>
        <v>0.7</v>
      </c>
      <c r="C13" s="46">
        <f>B13+A13</f>
        <v>0.7999999999999999</v>
      </c>
      <c r="D13" s="37">
        <v>3</v>
      </c>
      <c r="E13" s="23"/>
      <c r="F13" s="38">
        <v>0.35</v>
      </c>
      <c r="G13" s="39">
        <f>H12</f>
        <v>0.6499999999999999</v>
      </c>
      <c r="H13" s="47">
        <f>G13+F13</f>
        <v>0.9999999999999999</v>
      </c>
      <c r="I13" s="40">
        <v>20</v>
      </c>
    </row>
    <row r="14" spans="1:9" ht="13.5" thickBot="1">
      <c r="A14" s="38">
        <v>0.2</v>
      </c>
      <c r="B14" s="39">
        <f>C13</f>
        <v>0.7999999999999999</v>
      </c>
      <c r="C14" s="47">
        <f>B14+A14</f>
        <v>1</v>
      </c>
      <c r="D14" s="40">
        <v>4</v>
      </c>
      <c r="E14" s="23"/>
      <c r="F14" s="41"/>
      <c r="G14" s="41"/>
      <c r="H14" s="41"/>
      <c r="I14" s="41"/>
    </row>
    <row r="15" spans="1:9" ht="12.75">
      <c r="A15" s="41"/>
      <c r="B15" s="41"/>
      <c r="C15" s="42"/>
      <c r="D15" s="41"/>
      <c r="E15" s="23"/>
      <c r="F15" s="41"/>
      <c r="G15" s="41"/>
      <c r="H15" s="41"/>
      <c r="I15" s="41"/>
    </row>
    <row r="16" spans="1:9" ht="12.75">
      <c r="A16" s="41"/>
      <c r="B16" s="41"/>
      <c r="C16" s="42"/>
      <c r="D16" s="41"/>
      <c r="E16" s="23"/>
      <c r="F16" s="41"/>
      <c r="G16" s="41"/>
      <c r="H16" s="41"/>
      <c r="I16" s="41"/>
    </row>
    <row r="17" spans="1:9" ht="12.75">
      <c r="A17" s="41"/>
      <c r="B17" s="41"/>
      <c r="C17" s="42"/>
      <c r="D17" s="41"/>
      <c r="E17" s="23"/>
      <c r="F17" s="41"/>
      <c r="G17" s="41"/>
      <c r="H17" s="41"/>
      <c r="I17" s="41"/>
    </row>
    <row r="18" spans="1:9" ht="12.75">
      <c r="A18" s="41"/>
      <c r="B18" s="41"/>
      <c r="C18" s="42"/>
      <c r="D18" s="41"/>
      <c r="E18" s="23"/>
      <c r="F18" s="41"/>
      <c r="G18" s="41"/>
      <c r="H18" s="41"/>
      <c r="I18" s="41"/>
    </row>
    <row r="19" spans="1:9" ht="12.75">
      <c r="A19" s="41"/>
      <c r="B19" s="41"/>
      <c r="C19" s="42"/>
      <c r="D19" s="41"/>
      <c r="E19" s="23"/>
      <c r="F19" s="41"/>
      <c r="G19" s="41"/>
      <c r="H19" s="41"/>
      <c r="I19" s="41"/>
    </row>
    <row r="20" spans="1:9" ht="12.75">
      <c r="A20" s="41"/>
      <c r="B20" s="41"/>
      <c r="C20" s="42"/>
      <c r="D20" s="41"/>
      <c r="F20" s="41"/>
      <c r="G20" s="41"/>
      <c r="H20" s="41"/>
      <c r="I20" s="41"/>
    </row>
    <row r="21" spans="1:5" ht="12.75">
      <c r="A21" s="43"/>
      <c r="B21" s="43"/>
      <c r="E21" s="44"/>
    </row>
    <row r="22" spans="1:7" ht="12.75">
      <c r="A22" s="43"/>
      <c r="B22" s="43"/>
      <c r="E22" s="44"/>
      <c r="G22" s="45"/>
    </row>
    <row r="23" spans="1:2" ht="12.75">
      <c r="A23" s="43"/>
      <c r="B23" s="43"/>
    </row>
    <row r="24" spans="1:2" ht="12.75">
      <c r="A24" s="43"/>
      <c r="B24" s="43"/>
    </row>
    <row r="25" spans="1:2" ht="12.75">
      <c r="A25" s="43"/>
      <c r="B25" s="43"/>
    </row>
    <row r="26" spans="1:2" ht="12.75">
      <c r="A26" s="43"/>
      <c r="B26" s="43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S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28125" style="11" customWidth="1"/>
    <col min="2" max="2" width="12.140625" style="78" customWidth="1"/>
    <col min="3" max="3" width="9.140625" style="11" customWidth="1"/>
    <col min="4" max="4" width="10.57421875" style="78" customWidth="1"/>
    <col min="5" max="5" width="7.140625" style="11" customWidth="1"/>
    <col min="6" max="6" width="10.00390625" style="11" customWidth="1"/>
    <col min="7" max="7" width="9.140625" style="12" customWidth="1"/>
    <col min="8" max="8" width="8.8515625" style="12" customWidth="1"/>
    <col min="9" max="11" width="9.140625" style="12" customWidth="1"/>
    <col min="12" max="32" width="9.140625" style="11" customWidth="1"/>
    <col min="33" max="33" width="11.140625" style="65" customWidth="1"/>
    <col min="34" max="35" width="9.140625" style="11" customWidth="1"/>
    <col min="36" max="36" width="7.421875" style="11" customWidth="1"/>
    <col min="37" max="41" width="7.7109375" style="11" customWidth="1"/>
    <col min="42" max="42" width="9.140625" style="78" customWidth="1"/>
    <col min="43" max="43" width="9.140625" style="12" customWidth="1"/>
    <col min="44" max="16384" width="9.140625" style="11" customWidth="1"/>
  </cols>
  <sheetData>
    <row r="1" spans="1:43" ht="12.75">
      <c r="A1" s="13"/>
      <c r="B1" s="76"/>
      <c r="C1" s="13"/>
      <c r="D1" s="76"/>
      <c r="E1" s="13"/>
      <c r="F1" s="13"/>
      <c r="G1" s="77"/>
      <c r="H1" s="13"/>
      <c r="I1" s="13"/>
      <c r="J1" s="13"/>
      <c r="K1" s="13"/>
      <c r="AP1" s="11"/>
      <c r="AQ1" s="11"/>
    </row>
    <row r="2" spans="1:43" ht="12.75">
      <c r="A2" s="13"/>
      <c r="B2" s="76"/>
      <c r="C2" s="13"/>
      <c r="D2" s="76"/>
      <c r="E2" s="13"/>
      <c r="F2" s="13"/>
      <c r="G2" s="77"/>
      <c r="H2" s="13"/>
      <c r="I2" s="13"/>
      <c r="J2" s="13"/>
      <c r="K2" s="13"/>
      <c r="AP2" s="11"/>
      <c r="AQ2" s="11"/>
    </row>
    <row r="3" spans="1:43" ht="12.75">
      <c r="A3" s="13"/>
      <c r="B3" s="76"/>
      <c r="C3" s="13"/>
      <c r="D3" s="76"/>
      <c r="E3" s="13"/>
      <c r="F3" s="13"/>
      <c r="G3" s="77"/>
      <c r="H3" s="13"/>
      <c r="I3" s="13"/>
      <c r="J3" s="13"/>
      <c r="K3" s="13"/>
      <c r="AP3" s="11"/>
      <c r="AQ3" s="11"/>
    </row>
    <row r="4" spans="1:43" ht="12.75">
      <c r="A4" s="13"/>
      <c r="B4" s="76"/>
      <c r="C4" s="13"/>
      <c r="D4" s="76"/>
      <c r="E4" s="13"/>
      <c r="F4" s="13"/>
      <c r="G4" s="77"/>
      <c r="H4" s="13"/>
      <c r="I4" s="13"/>
      <c r="J4" s="13"/>
      <c r="K4" s="13"/>
      <c r="AP4" s="11"/>
      <c r="AQ4" s="11"/>
    </row>
    <row r="6" ht="12.75">
      <c r="D6" s="79" t="s">
        <v>16</v>
      </c>
    </row>
    <row r="7" spans="1:35" s="59" customFormat="1" ht="12.75">
      <c r="A7" s="59" t="s">
        <v>17</v>
      </c>
      <c r="B7" s="79" t="s">
        <v>10</v>
      </c>
      <c r="C7" s="59" t="s">
        <v>18</v>
      </c>
      <c r="D7" s="79" t="s">
        <v>19</v>
      </c>
      <c r="G7" s="60" t="s">
        <v>20</v>
      </c>
      <c r="H7" s="59" t="s">
        <v>11</v>
      </c>
      <c r="I7" s="80" t="s">
        <v>21</v>
      </c>
      <c r="J7" s="80"/>
      <c r="K7" s="80" t="s">
        <v>22</v>
      </c>
      <c r="L7" s="80"/>
      <c r="M7" s="80" t="s">
        <v>23</v>
      </c>
      <c r="N7" s="80"/>
      <c r="O7" s="80" t="s">
        <v>24</v>
      </c>
      <c r="P7" s="80"/>
      <c r="Q7" s="80" t="s">
        <v>25</v>
      </c>
      <c r="R7" s="80"/>
      <c r="S7" s="80" t="s">
        <v>26</v>
      </c>
      <c r="T7" s="80"/>
      <c r="U7" s="80" t="s">
        <v>27</v>
      </c>
      <c r="V7" s="80"/>
      <c r="W7" s="80" t="s">
        <v>28</v>
      </c>
      <c r="X7" s="80"/>
      <c r="Y7" s="80" t="s">
        <v>29</v>
      </c>
      <c r="Z7" s="80"/>
      <c r="AA7" s="80" t="s">
        <v>30</v>
      </c>
      <c r="AB7" s="80"/>
      <c r="AC7" s="80" t="s">
        <v>31</v>
      </c>
      <c r="AD7" s="80"/>
      <c r="AE7" s="80" t="s">
        <v>32</v>
      </c>
      <c r="AF7" s="80"/>
      <c r="AG7" s="81" t="s">
        <v>20</v>
      </c>
      <c r="AH7" s="59" t="s">
        <v>33</v>
      </c>
      <c r="AI7" s="59" t="s">
        <v>34</v>
      </c>
    </row>
    <row r="8" spans="1:35" s="59" customFormat="1" ht="12.75">
      <c r="A8" s="59" t="s">
        <v>35</v>
      </c>
      <c r="B8" s="79" t="s">
        <v>14</v>
      </c>
      <c r="C8" s="79" t="s">
        <v>14</v>
      </c>
      <c r="D8" s="79" t="s">
        <v>36</v>
      </c>
      <c r="E8" s="59" t="s">
        <v>37</v>
      </c>
      <c r="F8" s="59" t="s">
        <v>38</v>
      </c>
      <c r="G8" s="60" t="s">
        <v>39</v>
      </c>
      <c r="H8" s="59" t="s">
        <v>14</v>
      </c>
      <c r="I8" s="81" t="s">
        <v>40</v>
      </c>
      <c r="J8" s="81" t="s">
        <v>41</v>
      </c>
      <c r="K8" s="81" t="s">
        <v>40</v>
      </c>
      <c r="L8" s="81" t="s">
        <v>41</v>
      </c>
      <c r="M8" s="81" t="s">
        <v>40</v>
      </c>
      <c r="N8" s="81" t="s">
        <v>41</v>
      </c>
      <c r="O8" s="81" t="s">
        <v>40</v>
      </c>
      <c r="P8" s="81" t="s">
        <v>41</v>
      </c>
      <c r="Q8" s="81" t="s">
        <v>40</v>
      </c>
      <c r="R8" s="81" t="s">
        <v>41</v>
      </c>
      <c r="S8" s="81" t="s">
        <v>40</v>
      </c>
      <c r="T8" s="81" t="s">
        <v>41</v>
      </c>
      <c r="U8" s="81" t="s">
        <v>40</v>
      </c>
      <c r="V8" s="81" t="s">
        <v>41</v>
      </c>
      <c r="W8" s="81" t="s">
        <v>40</v>
      </c>
      <c r="X8" s="81" t="s">
        <v>41</v>
      </c>
      <c r="Y8" s="81" t="s">
        <v>40</v>
      </c>
      <c r="Z8" s="81" t="s">
        <v>41</v>
      </c>
      <c r="AA8" s="81" t="s">
        <v>40</v>
      </c>
      <c r="AB8" s="81" t="s">
        <v>41</v>
      </c>
      <c r="AC8" s="81" t="s">
        <v>40</v>
      </c>
      <c r="AD8" s="81" t="s">
        <v>41</v>
      </c>
      <c r="AE8" s="81" t="s">
        <v>40</v>
      </c>
      <c r="AF8" s="81" t="s">
        <v>41</v>
      </c>
      <c r="AG8" s="81" t="s">
        <v>42</v>
      </c>
      <c r="AH8" s="82" t="s">
        <v>14</v>
      </c>
      <c r="AI8" s="82" t="s">
        <v>14</v>
      </c>
    </row>
    <row r="9" spans="1:35" s="59" customFormat="1" ht="13.5" thickBot="1">
      <c r="A9" s="61"/>
      <c r="B9" s="83" t="s">
        <v>15</v>
      </c>
      <c r="C9" s="61" t="s">
        <v>43</v>
      </c>
      <c r="D9" s="83" t="s">
        <v>44</v>
      </c>
      <c r="E9" s="61"/>
      <c r="F9" s="61"/>
      <c r="G9" s="64" t="s">
        <v>43</v>
      </c>
      <c r="H9" s="61" t="s">
        <v>15</v>
      </c>
      <c r="I9" s="61" t="s">
        <v>43</v>
      </c>
      <c r="J9" s="61" t="s">
        <v>43</v>
      </c>
      <c r="K9" s="61" t="s">
        <v>43</v>
      </c>
      <c r="L9" s="61" t="s">
        <v>43</v>
      </c>
      <c r="M9" s="61" t="s">
        <v>43</v>
      </c>
      <c r="N9" s="61" t="s">
        <v>43</v>
      </c>
      <c r="O9" s="61" t="s">
        <v>43</v>
      </c>
      <c r="P9" s="61" t="s">
        <v>43</v>
      </c>
      <c r="Q9" s="61" t="s">
        <v>43</v>
      </c>
      <c r="R9" s="61" t="s">
        <v>43</v>
      </c>
      <c r="S9" s="61" t="s">
        <v>43</v>
      </c>
      <c r="T9" s="61" t="s">
        <v>43</v>
      </c>
      <c r="U9" s="61" t="s">
        <v>43</v>
      </c>
      <c r="V9" s="61" t="s">
        <v>43</v>
      </c>
      <c r="W9" s="61" t="s">
        <v>43</v>
      </c>
      <c r="X9" s="61" t="s">
        <v>43</v>
      </c>
      <c r="Y9" s="61" t="s">
        <v>43</v>
      </c>
      <c r="Z9" s="61" t="s">
        <v>43</v>
      </c>
      <c r="AA9" s="61" t="s">
        <v>43</v>
      </c>
      <c r="AB9" s="61" t="s">
        <v>43</v>
      </c>
      <c r="AC9" s="61" t="s">
        <v>43</v>
      </c>
      <c r="AD9" s="61" t="s">
        <v>43</v>
      </c>
      <c r="AE9" s="61" t="s">
        <v>43</v>
      </c>
      <c r="AF9" s="61" t="s">
        <v>43</v>
      </c>
      <c r="AG9" s="61" t="s">
        <v>43</v>
      </c>
      <c r="AH9" s="61" t="s">
        <v>43</v>
      </c>
      <c r="AI9" s="61" t="s">
        <v>43</v>
      </c>
    </row>
    <row r="10" spans="2:33" s="65" customFormat="1" ht="12.75">
      <c r="B10" s="84"/>
      <c r="D10" s="84"/>
      <c r="G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5" s="65" customFormat="1" ht="12.75">
      <c r="A11" s="88" t="s">
        <v>45</v>
      </c>
      <c r="B11" s="89"/>
      <c r="C11" s="90">
        <f>Computations!F11</f>
        <v>0.375</v>
      </c>
      <c r="D11" s="89"/>
      <c r="E11" s="88"/>
      <c r="F11" s="88"/>
      <c r="G11" s="90"/>
      <c r="H11" s="88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88"/>
      <c r="AI11" s="88"/>
    </row>
    <row r="12" spans="1:35" s="65" customFormat="1" ht="12.75">
      <c r="A12" s="88">
        <f>Computations!A12</f>
        <v>1</v>
      </c>
      <c r="B12" s="89">
        <f>IF(ISTEXT(C12),"",Computations!B12)</f>
        <v>2</v>
      </c>
      <c r="C12" s="90">
        <f>IF(Computations!F12="closed",Computations!F11+Computations!C12,Computations!F12)</f>
        <v>0.3763888888888889</v>
      </c>
      <c r="D12" s="89">
        <f>IF(ISTEXT(A12),"",Computations!G12)</f>
        <v>0</v>
      </c>
      <c r="E12" s="88">
        <f>Computations!H12</f>
      </c>
      <c r="F12" s="88">
        <f>Computations!W12</f>
      </c>
      <c r="G12" s="90">
        <f>Computations!X12</f>
      </c>
      <c r="H12" s="88">
        <f>IF(ISTEXT(Computations!Y12),"",Computations!D12)</f>
        <v>20</v>
      </c>
      <c r="I12" s="90">
        <f>IF(Computations!$Z12=1,Computations!Y12,"")</f>
        <v>0.3763888888888889</v>
      </c>
      <c r="J12" s="90">
        <f>IF(ISTEXT($I12),"",$I12+Computations!$E12)</f>
        <v>0.3902777777777778</v>
      </c>
      <c r="K12" s="90">
        <f>IF(Computations!$Z12=2,Computations!Y12,"")</f>
      </c>
      <c r="L12" s="90">
        <f>IF(ISTEXT($K12),"",$K12+Computations!$E12)</f>
      </c>
      <c r="M12" s="90">
        <f>IF(Computations!$Z12=3,Computations!Y12,"")</f>
      </c>
      <c r="N12" s="90">
        <f>IF(ISTEXT($M12),"",$M12+Computations!$E12)</f>
      </c>
      <c r="O12" s="90">
        <f>IF(Computations!$Z12=4,Computations!Y12,"")</f>
      </c>
      <c r="P12" s="90">
        <f>IF(ISTEXT($O12),"",$O12+Computations!$E12)</f>
      </c>
      <c r="Q12" s="90">
        <f>IF(Computations!$Z12=5,Computations!Y12,"")</f>
      </c>
      <c r="R12" s="90">
        <f>IF(ISTEXT($Q12),"",$Q12+Computations!$E12)</f>
      </c>
      <c r="S12" s="90">
        <f>IF(Computations!$Z12=6,Computations!Y12,"")</f>
      </c>
      <c r="T12" s="90">
        <f>IF(ISTEXT($S12),"",$S12+Computations!$E12)</f>
      </c>
      <c r="U12" s="90">
        <f>IF(Computations!$Z12=7,Computations!Y12,"")</f>
      </c>
      <c r="V12" s="90">
        <f>IF(ISTEXT($U12),"",$U12+Computations!$E12)</f>
      </c>
      <c r="W12" s="90">
        <f>IF(Computations!$Z12=8,Computations!Y12,"")</f>
      </c>
      <c r="X12" s="90">
        <f>IF(ISTEXT($W12),"",$W12+Computations!$E12)</f>
      </c>
      <c r="Y12" s="90">
        <f>IF(Computations!$Z12=9,Computations!Y12,"")</f>
      </c>
      <c r="Z12" s="90">
        <f>IF(ISTEXT($Y12),"",$Y12+Computations!$E12)</f>
      </c>
      <c r="AA12" s="90">
        <f>IF(Computations!$Z12=10,Computations!Y12,"")</f>
      </c>
      <c r="AB12" s="90">
        <f>IF(ISTEXT($AA12),"",$AA12+Computations!$E12)</f>
      </c>
      <c r="AC12" s="90">
        <f>IF(Computations!$Z12=11,Computations!Y12,"")</f>
      </c>
      <c r="AD12" s="90">
        <f>IF(ISTEXT($AC12),"",$AC12+Computations!$E12)</f>
      </c>
      <c r="AE12" s="90">
        <f>IF(Computations!$Z12=12,Computations!Y12,"")</f>
      </c>
      <c r="AF12" s="90">
        <f>IF(ISTEXT($AE12),"",$AE12+Computations!$E12)</f>
      </c>
      <c r="AG12" s="90">
        <f>IF(F12="renege",G12-C12,"")</f>
      </c>
      <c r="AH12" s="90">
        <f>IF(F12="renege","",Computations!V12)</f>
        <v>0</v>
      </c>
      <c r="AI12" s="90">
        <f>IF(ISTEXT($AH12),"",Computations!$E12+AH12)</f>
        <v>0.013888888888888888</v>
      </c>
    </row>
    <row r="13" spans="1:35" s="65" customFormat="1" ht="12.75">
      <c r="A13" s="88">
        <f>Computations!A13</f>
        <v>2</v>
      </c>
      <c r="B13" s="89">
        <f>IF(ISTEXT(C13),"",Computations!B13)</f>
        <v>2</v>
      </c>
      <c r="C13" s="90">
        <f>IF(Computations!F13="closed",Computations!F12+Computations!C13,Computations!F13)</f>
        <v>0.37777777777777777</v>
      </c>
      <c r="D13" s="89">
        <f>IF(ISTEXT(A13),"",Computations!G13)</f>
        <v>0</v>
      </c>
      <c r="E13" s="88">
        <f>Computations!H13</f>
      </c>
      <c r="F13" s="88">
        <f>Computations!W13</f>
      </c>
      <c r="G13" s="90">
        <f>Computations!X13</f>
      </c>
      <c r="H13" s="88">
        <f>IF(ISTEXT(Computations!Y13),"",Computations!D13)</f>
        <v>15</v>
      </c>
      <c r="I13" s="90">
        <f>IF(Computations!$Z13=1,Computations!Y13,"")</f>
      </c>
      <c r="J13" s="90">
        <f>IF(ISTEXT($I13),"",$I13+Computations!$E13)</f>
      </c>
      <c r="K13" s="90">
        <f>IF(Computations!$Z13=2,Computations!Y13,"")</f>
        <v>0.37777777777777777</v>
      </c>
      <c r="L13" s="90">
        <f>IF(ISTEXT($K13),"",$K13+Computations!$E13)</f>
        <v>0.38819444444444445</v>
      </c>
      <c r="M13" s="90">
        <f>IF(Computations!$Z13=3,Computations!Y13,"")</f>
      </c>
      <c r="N13" s="90">
        <f>IF(ISTEXT($M13),"",$M13+Computations!$E13)</f>
      </c>
      <c r="O13" s="90">
        <f>IF(Computations!$Z13=4,Computations!Y13,"")</f>
      </c>
      <c r="P13" s="90">
        <f>IF(ISTEXT($O13),"",$O13+Computations!$E13)</f>
      </c>
      <c r="Q13" s="90">
        <f>IF(Computations!$Z13=5,Computations!Y13,"")</f>
      </c>
      <c r="R13" s="90">
        <f>IF(ISTEXT($Q13),"",$Q13+Computations!$E13)</f>
      </c>
      <c r="S13" s="90">
        <f>IF(Computations!$Z13=6,Computations!Y13,"")</f>
      </c>
      <c r="T13" s="90">
        <f>IF(ISTEXT($S13),"",$S13+Computations!$E13)</f>
      </c>
      <c r="U13" s="90">
        <f>IF(Computations!$Z13=7,Computations!Y13,"")</f>
      </c>
      <c r="V13" s="90">
        <f>IF(ISTEXT($U13),"",$U13+Computations!$E13)</f>
      </c>
      <c r="W13" s="90">
        <f>IF(Computations!$Z13=8,Computations!Y13,"")</f>
      </c>
      <c r="X13" s="90">
        <f>IF(ISTEXT($W13),"",$W13+Computations!$E13)</f>
      </c>
      <c r="Y13" s="90">
        <f>IF(Computations!$Z13=9,Computations!Y13,"")</f>
      </c>
      <c r="Z13" s="90">
        <f>IF(ISTEXT($Y13),"",$Y13+Computations!$E13)</f>
      </c>
      <c r="AA13" s="90">
        <f>IF(Computations!$Z13=10,Computations!Y13,"")</f>
      </c>
      <c r="AB13" s="90">
        <f>IF(ISTEXT($AA13),"",$AA13+Computations!$E13)</f>
      </c>
      <c r="AC13" s="90">
        <f>IF(Computations!$Z13=11,Computations!Y13,"")</f>
      </c>
      <c r="AD13" s="90">
        <f>IF(ISTEXT($AC13),"",$AC13+Computations!$E13)</f>
      </c>
      <c r="AE13" s="90">
        <f>IF(Computations!$Z13=12,Computations!Y13,"")</f>
      </c>
      <c r="AF13" s="90">
        <f>IF(ISTEXT($AE13),"",$AE13+Computations!$E13)</f>
      </c>
      <c r="AG13" s="90">
        <f aca="true" t="shared" si="0" ref="AG13:AG26">IF(F13="renege",G13-C13,"")</f>
      </c>
      <c r="AH13" s="90">
        <f>IF(F13="renege","",Computations!V13)</f>
        <v>0</v>
      </c>
      <c r="AI13" s="90">
        <f>IF(ISTEXT($AH13),"",Computations!$E13+AH13)</f>
        <v>0.010416666666666666</v>
      </c>
    </row>
    <row r="14" spans="1:35" s="65" customFormat="1" ht="12.75">
      <c r="A14" s="88">
        <f>Computations!A14</f>
        <v>3</v>
      </c>
      <c r="B14" s="89">
        <f>IF(ISTEXT(C14),"",Computations!B14)</f>
        <v>2</v>
      </c>
      <c r="C14" s="90">
        <f>IF(Computations!F14="closed",Computations!F13+Computations!C14,Computations!F14)</f>
        <v>0.37916666666666665</v>
      </c>
      <c r="D14" s="89">
        <f>IF(ISTEXT(A14),"",Computations!G14)</f>
        <v>0</v>
      </c>
      <c r="E14" s="88">
        <f>Computations!H14</f>
      </c>
      <c r="F14" s="88">
        <f>Computations!W14</f>
      </c>
      <c r="G14" s="90">
        <f>Computations!X14</f>
      </c>
      <c r="H14" s="88">
        <f>IF(ISTEXT(Computations!Y14),"",Computations!D14)</f>
        <v>20</v>
      </c>
      <c r="I14" s="90">
        <f>IF(Computations!$Z14=1,Computations!Y14,"")</f>
      </c>
      <c r="J14" s="90">
        <f>IF(ISTEXT($I14),"",$I14+Computations!$E14)</f>
      </c>
      <c r="K14" s="90">
        <f>IF(Computations!$Z14=2,Computations!Y14,"")</f>
      </c>
      <c r="L14" s="90">
        <f>IF(ISTEXT($K14),"",$K14+Computations!$E14)</f>
      </c>
      <c r="M14" s="90">
        <f>IF(Computations!$Z14=3,Computations!Y14,"")</f>
        <v>0.37916666666666665</v>
      </c>
      <c r="N14" s="90">
        <f>IF(ISTEXT($M14),"",$M14+Computations!$E14)</f>
        <v>0.39305555555555555</v>
      </c>
      <c r="O14" s="90">
        <f>IF(Computations!$Z14=4,Computations!Y14,"")</f>
      </c>
      <c r="P14" s="90">
        <f>IF(ISTEXT($O14),"",$O14+Computations!$E14)</f>
      </c>
      <c r="Q14" s="90">
        <f>IF(Computations!$Z14=5,Computations!Y14,"")</f>
      </c>
      <c r="R14" s="90">
        <f>IF(ISTEXT($Q14),"",$Q14+Computations!$E14)</f>
      </c>
      <c r="S14" s="90">
        <f>IF(Computations!$Z14=6,Computations!Y14,"")</f>
      </c>
      <c r="T14" s="90">
        <f>IF(ISTEXT($S14),"",$S14+Computations!$E14)</f>
      </c>
      <c r="U14" s="90">
        <f>IF(Computations!$Z14=7,Computations!Y14,"")</f>
      </c>
      <c r="V14" s="90">
        <f>IF(ISTEXT($U14),"",$U14+Computations!$E14)</f>
      </c>
      <c r="W14" s="90">
        <f>IF(Computations!$Z14=8,Computations!Y14,"")</f>
      </c>
      <c r="X14" s="90">
        <f>IF(ISTEXT($W14),"",$W14+Computations!$E14)</f>
      </c>
      <c r="Y14" s="90">
        <f>IF(Computations!$Z14=9,Computations!Y14,"")</f>
      </c>
      <c r="Z14" s="90">
        <f>IF(ISTEXT($Y14),"",$Y14+Computations!$E14)</f>
      </c>
      <c r="AA14" s="90">
        <f>IF(Computations!$Z14=10,Computations!Y14,"")</f>
      </c>
      <c r="AB14" s="90">
        <f>IF(ISTEXT($AA14),"",$AA14+Computations!$E14)</f>
      </c>
      <c r="AC14" s="90">
        <f>IF(Computations!$Z14=11,Computations!Y14,"")</f>
      </c>
      <c r="AD14" s="90">
        <f>IF(ISTEXT($AC14),"",$AC14+Computations!$E14)</f>
      </c>
      <c r="AE14" s="90">
        <f>IF(Computations!$Z14=12,Computations!Y14,"")</f>
      </c>
      <c r="AF14" s="90">
        <f>IF(ISTEXT($AE14),"",$AE14+Computations!$E14)</f>
      </c>
      <c r="AG14" s="90">
        <f t="shared" si="0"/>
      </c>
      <c r="AH14" s="90">
        <f>IF(F14="renege","",Computations!V14)</f>
        <v>0</v>
      </c>
      <c r="AI14" s="90">
        <f>IF(ISTEXT($AH14),"",Computations!$E14+AH14)</f>
        <v>0.013888888888888888</v>
      </c>
    </row>
    <row r="15" spans="1:35" s="65" customFormat="1" ht="12.75">
      <c r="A15" s="88">
        <f>Computations!A15</f>
        <v>4</v>
      </c>
      <c r="B15" s="89">
        <f>IF(ISTEXT(C15),"",Computations!B15)</f>
        <v>2</v>
      </c>
      <c r="C15" s="90">
        <f>IF(Computations!F15="closed",Computations!F14+Computations!C15,Computations!F15)</f>
        <v>0.38055555555555554</v>
      </c>
      <c r="D15" s="89">
        <f>IF(ISTEXT(A15),"",Computations!G15)</f>
        <v>0</v>
      </c>
      <c r="E15" s="88">
        <f>Computations!H15</f>
      </c>
      <c r="F15" s="88">
        <f>Computations!W15</f>
      </c>
      <c r="G15" s="90">
        <f>Computations!X15</f>
      </c>
      <c r="H15" s="88">
        <f>IF(ISTEXT(Computations!Y15),"",Computations!D15)</f>
        <v>10</v>
      </c>
      <c r="I15" s="90">
        <f>IF(Computations!$Z15=1,Computations!Y15,"")</f>
      </c>
      <c r="J15" s="90">
        <f>IF(ISTEXT($I15),"",$I15+Computations!$E15)</f>
      </c>
      <c r="K15" s="90">
        <f>IF(Computations!$Z15=2,Computations!Y15,"")</f>
      </c>
      <c r="L15" s="90">
        <f>IF(ISTEXT($K15),"",$K15+Computations!$E15)</f>
      </c>
      <c r="M15" s="90">
        <f>IF(Computations!$Z15=3,Computations!Y15,"")</f>
      </c>
      <c r="N15" s="90">
        <f>IF(ISTEXT($M15),"",$M15+Computations!$E15)</f>
      </c>
      <c r="O15" s="90">
        <f>IF(Computations!$Z15=4,Computations!Y15,"")</f>
        <v>0.38055555555555554</v>
      </c>
      <c r="P15" s="90">
        <f>IF(ISTEXT($O15),"",$O15+Computations!$E15)</f>
        <v>0.38749999999999996</v>
      </c>
      <c r="Q15" s="90">
        <f>IF(Computations!$Z15=5,Computations!Y15,"")</f>
      </c>
      <c r="R15" s="90">
        <f>IF(ISTEXT($Q15),"",$Q15+Computations!$E15)</f>
      </c>
      <c r="S15" s="90">
        <f>IF(Computations!$Z15=6,Computations!Y15,"")</f>
      </c>
      <c r="T15" s="90">
        <f>IF(ISTEXT($S15),"",$S15+Computations!$E15)</f>
      </c>
      <c r="U15" s="90">
        <f>IF(Computations!$Z15=7,Computations!Y15,"")</f>
      </c>
      <c r="V15" s="90">
        <f>IF(ISTEXT($U15),"",$U15+Computations!$E15)</f>
      </c>
      <c r="W15" s="90">
        <f>IF(Computations!$Z15=8,Computations!Y15,"")</f>
      </c>
      <c r="X15" s="90">
        <f>IF(ISTEXT($W15),"",$W15+Computations!$E15)</f>
      </c>
      <c r="Y15" s="90">
        <f>IF(Computations!$Z15=9,Computations!Y15,"")</f>
      </c>
      <c r="Z15" s="90">
        <f>IF(ISTEXT($Y15),"",$Y15+Computations!$E15)</f>
      </c>
      <c r="AA15" s="90">
        <f>IF(Computations!$Z15=10,Computations!Y15,"")</f>
      </c>
      <c r="AB15" s="90">
        <f>IF(ISTEXT($AA15),"",$AA15+Computations!$E15)</f>
      </c>
      <c r="AC15" s="90">
        <f>IF(Computations!$Z15=11,Computations!Y15,"")</f>
      </c>
      <c r="AD15" s="90">
        <f>IF(ISTEXT($AC15),"",$AC15+Computations!$E15)</f>
      </c>
      <c r="AE15" s="90">
        <f>IF(Computations!$Z15=12,Computations!Y15,"")</f>
      </c>
      <c r="AF15" s="90">
        <f>IF(ISTEXT($AE15),"",$AE15+Computations!$E15)</f>
      </c>
      <c r="AG15" s="90">
        <f t="shared" si="0"/>
      </c>
      <c r="AH15" s="90">
        <f>IF(F15="renege","",Computations!V15)</f>
        <v>0</v>
      </c>
      <c r="AI15" s="90">
        <f>IF(ISTEXT($AH15),"",Computations!$E15+AH15)</f>
        <v>0.006944444444444444</v>
      </c>
    </row>
    <row r="16" spans="1:35" s="65" customFormat="1" ht="12.75">
      <c r="A16" s="88">
        <f>Computations!A16</f>
        <v>5</v>
      </c>
      <c r="B16" s="89">
        <f>IF(ISTEXT(C16),"",Computations!B16)</f>
        <v>3</v>
      </c>
      <c r="C16" s="90">
        <f>IF(Computations!F16="closed",Computations!F15+Computations!C16,Computations!F16)</f>
        <v>0.38263888888888886</v>
      </c>
      <c r="D16" s="89">
        <f>IF(ISTEXT(A16),"",Computations!G16)</f>
        <v>0</v>
      </c>
      <c r="E16" s="88">
        <f>Computations!H16</f>
      </c>
      <c r="F16" s="88">
        <f>Computations!W16</f>
      </c>
      <c r="G16" s="90">
        <f>Computations!X16</f>
      </c>
      <c r="H16" s="88">
        <f>IF(ISTEXT(Computations!Y16),"",Computations!D16)</f>
        <v>20</v>
      </c>
      <c r="I16" s="90">
        <f>IF(Computations!$Z16=1,Computations!Y16,"")</f>
      </c>
      <c r="J16" s="90">
        <f>IF(ISTEXT($I16),"",$I16+Computations!$E16)</f>
      </c>
      <c r="K16" s="90">
        <f>IF(Computations!$Z16=2,Computations!Y16,"")</f>
      </c>
      <c r="L16" s="90">
        <f>IF(ISTEXT($K16),"",$K16+Computations!$E16)</f>
      </c>
      <c r="M16" s="90">
        <f>IF(Computations!$Z16=3,Computations!Y16,"")</f>
      </c>
      <c r="N16" s="90">
        <f>IF(ISTEXT($M16),"",$M16+Computations!$E16)</f>
      </c>
      <c r="O16" s="90">
        <f>IF(Computations!$Z16=4,Computations!Y16,"")</f>
      </c>
      <c r="P16" s="90">
        <f>IF(ISTEXT($O16),"",$O16+Computations!$E16)</f>
      </c>
      <c r="Q16" s="90">
        <f>IF(Computations!$Z16=5,Computations!Y16,"")</f>
        <v>0.38263888888888886</v>
      </c>
      <c r="R16" s="90">
        <f>IF(ISTEXT($Q16),"",$Q16+Computations!$E16)</f>
        <v>0.39652777777777776</v>
      </c>
      <c r="S16" s="90">
        <f>IF(Computations!$Z16=6,Computations!Y16,"")</f>
      </c>
      <c r="T16" s="90">
        <f>IF(ISTEXT($S16),"",$S16+Computations!$E16)</f>
      </c>
      <c r="U16" s="90">
        <f>IF(Computations!$Z16=7,Computations!Y16,"")</f>
      </c>
      <c r="V16" s="90">
        <f>IF(ISTEXT($U16),"",$U16+Computations!$E16)</f>
      </c>
      <c r="W16" s="90">
        <f>IF(Computations!$Z16=8,Computations!Y16,"")</f>
      </c>
      <c r="X16" s="90">
        <f>IF(ISTEXT($W16),"",$W16+Computations!$E16)</f>
      </c>
      <c r="Y16" s="90">
        <f>IF(Computations!$Z16=9,Computations!Y16,"")</f>
      </c>
      <c r="Z16" s="90">
        <f>IF(ISTEXT($Y16),"",$Y16+Computations!$E16)</f>
      </c>
      <c r="AA16" s="90">
        <f>IF(Computations!$Z16=10,Computations!Y16,"")</f>
      </c>
      <c r="AB16" s="90">
        <f>IF(ISTEXT($AA16),"",$AA16+Computations!$E16)</f>
      </c>
      <c r="AC16" s="90">
        <f>IF(Computations!$Z16=11,Computations!Y16,"")</f>
      </c>
      <c r="AD16" s="90">
        <f>IF(ISTEXT($AC16),"",$AC16+Computations!$E16)</f>
      </c>
      <c r="AE16" s="90">
        <f>IF(Computations!$Z16=12,Computations!Y16,"")</f>
      </c>
      <c r="AF16" s="90">
        <f>IF(ISTEXT($AE16),"",$AE16+Computations!$E16)</f>
      </c>
      <c r="AG16" s="90">
        <f t="shared" si="0"/>
      </c>
      <c r="AH16" s="90">
        <f>IF(F16="renege","",Computations!V16)</f>
        <v>0</v>
      </c>
      <c r="AI16" s="90">
        <f>IF(ISTEXT($AH16),"",Computations!$E16+AH16)</f>
        <v>0.013888888888888888</v>
      </c>
    </row>
    <row r="17" spans="1:35" s="65" customFormat="1" ht="12.75">
      <c r="A17" s="88">
        <f>Computations!A17</f>
        <v>6</v>
      </c>
      <c r="B17" s="89">
        <f>IF(ISTEXT(C17),"",Computations!B17)</f>
        <v>4</v>
      </c>
      <c r="C17" s="90">
        <f>IF(Computations!F17="closed",Computations!F16+Computations!C17,Computations!F17)</f>
        <v>0.38541666666666663</v>
      </c>
      <c r="D17" s="89">
        <f>IF(ISTEXT(A17),"",Computations!G17)</f>
        <v>0</v>
      </c>
      <c r="E17" s="88">
        <f>Computations!H17</f>
      </c>
      <c r="F17" s="88">
        <f>Computations!W17</f>
      </c>
      <c r="G17" s="90">
        <f>Computations!X17</f>
      </c>
      <c r="H17" s="88">
        <f>IF(ISTEXT(Computations!Y17),"",Computations!D17)</f>
        <v>15</v>
      </c>
      <c r="I17" s="90">
        <f>IF(Computations!$Z17=1,Computations!Y17,"")</f>
      </c>
      <c r="J17" s="90">
        <f>IF(ISTEXT($I17),"",$I17+Computations!$E17)</f>
      </c>
      <c r="K17" s="90">
        <f>IF(Computations!$Z17=2,Computations!Y17,"")</f>
      </c>
      <c r="L17" s="90">
        <f>IF(ISTEXT($K17),"",$K17+Computations!$E17)</f>
      </c>
      <c r="M17" s="90">
        <f>IF(Computations!$Z17=3,Computations!Y17,"")</f>
      </c>
      <c r="N17" s="90">
        <f>IF(ISTEXT($M17),"",$M17+Computations!$E17)</f>
      </c>
      <c r="O17" s="90">
        <f>IF(Computations!$Z17=4,Computations!Y17,"")</f>
      </c>
      <c r="P17" s="90">
        <f>IF(ISTEXT($O17),"",$O17+Computations!$E17)</f>
      </c>
      <c r="Q17" s="90">
        <f>IF(Computations!$Z17=5,Computations!Y17,"")</f>
      </c>
      <c r="R17" s="90">
        <f>IF(ISTEXT($Q17),"",$Q17+Computations!$E17)</f>
      </c>
      <c r="S17" s="90">
        <f>IF(Computations!$Z17=6,Computations!Y17,"")</f>
        <v>0.38541666666666663</v>
      </c>
      <c r="T17" s="90">
        <f>IF(ISTEXT($S17),"",$S17+Computations!$E17)</f>
        <v>0.3958333333333333</v>
      </c>
      <c r="U17" s="90">
        <f>IF(Computations!$Z17=7,Computations!Y17,"")</f>
      </c>
      <c r="V17" s="90">
        <f>IF(ISTEXT($U17),"",$U17+Computations!$E17)</f>
      </c>
      <c r="W17" s="90">
        <f>IF(Computations!$Z17=8,Computations!Y17,"")</f>
      </c>
      <c r="X17" s="90">
        <f>IF(ISTEXT($W17),"",$W17+Computations!$E17)</f>
      </c>
      <c r="Y17" s="90">
        <f>IF(Computations!$Z17=9,Computations!Y17,"")</f>
      </c>
      <c r="Z17" s="90">
        <f>IF(ISTEXT($Y17),"",$Y17+Computations!$E17)</f>
      </c>
      <c r="AA17" s="90">
        <f>IF(Computations!$Z17=10,Computations!Y17,"")</f>
      </c>
      <c r="AB17" s="90">
        <f>IF(ISTEXT($AA17),"",$AA17+Computations!$E17)</f>
      </c>
      <c r="AC17" s="90">
        <f>IF(Computations!$Z17=11,Computations!Y17,"")</f>
      </c>
      <c r="AD17" s="90">
        <f>IF(ISTEXT($AC17),"",$AC17+Computations!$E17)</f>
      </c>
      <c r="AE17" s="90">
        <f>IF(Computations!$Z17=12,Computations!Y17,"")</f>
      </c>
      <c r="AF17" s="90">
        <f>IF(ISTEXT($AE17),"",$AE17+Computations!$E17)</f>
      </c>
      <c r="AG17" s="90">
        <f t="shared" si="0"/>
      </c>
      <c r="AH17" s="90">
        <f>IF(F17="renege","",Computations!V17)</f>
        <v>0</v>
      </c>
      <c r="AI17" s="90">
        <f>IF(ISTEXT($AH17),"",Computations!$E17+AH17)</f>
        <v>0.010416666666666666</v>
      </c>
    </row>
    <row r="18" spans="1:35" s="65" customFormat="1" ht="12.75">
      <c r="A18" s="88">
        <f>Computations!A18</f>
        <v>7</v>
      </c>
      <c r="B18" s="89">
        <f>IF(ISTEXT(C18),"",Computations!B18)</f>
        <v>4</v>
      </c>
      <c r="C18" s="90">
        <f>IF(Computations!F18="closed",Computations!F17+Computations!C18,Computations!F18)</f>
        <v>0.3881944444444444</v>
      </c>
      <c r="D18" s="89">
        <f>IF(ISTEXT(A18),"",Computations!G18)</f>
        <v>0</v>
      </c>
      <c r="E18" s="88">
        <f>Computations!H18</f>
      </c>
      <c r="F18" s="88">
        <f>Computations!W18</f>
      </c>
      <c r="G18" s="90">
        <f>Computations!X18</f>
      </c>
      <c r="H18" s="88">
        <f>IF(ISTEXT(Computations!Y18),"",Computations!D18)</f>
        <v>15</v>
      </c>
      <c r="I18" s="90">
        <f>IF(Computations!$Z18=1,Computations!Y18,"")</f>
      </c>
      <c r="J18" s="90">
        <f>IF(ISTEXT($I18),"",$I18+Computations!$E18)</f>
      </c>
      <c r="K18" s="90">
        <f>IF(Computations!$Z18=2,Computations!Y18,"")</f>
      </c>
      <c r="L18" s="90">
        <f>IF(ISTEXT($K18),"",$K18+Computations!$E18)</f>
      </c>
      <c r="M18" s="90">
        <f>IF(Computations!$Z18=3,Computations!Y18,"")</f>
      </c>
      <c r="N18" s="90">
        <f>IF(ISTEXT($M18),"",$M18+Computations!$E18)</f>
      </c>
      <c r="O18" s="90">
        <f>IF(Computations!$Z18=4,Computations!Y18,"")</f>
        <v>0.3881944444444444</v>
      </c>
      <c r="P18" s="90">
        <f>IF(ISTEXT($O18),"",$O18+Computations!$E18)</f>
        <v>0.3986111111111111</v>
      </c>
      <c r="Q18" s="90">
        <f>IF(Computations!$Z18=5,Computations!Y18,"")</f>
      </c>
      <c r="R18" s="90">
        <f>IF(ISTEXT($Q18),"",$Q18+Computations!$E18)</f>
      </c>
      <c r="S18" s="90">
        <f>IF(Computations!$Z18=6,Computations!Y18,"")</f>
      </c>
      <c r="T18" s="90">
        <f>IF(ISTEXT($S18),"",$S18+Computations!$E18)</f>
      </c>
      <c r="U18" s="90">
        <f>IF(Computations!$Z18=7,Computations!Y18,"")</f>
      </c>
      <c r="V18" s="90">
        <f>IF(ISTEXT($U18),"",$U18+Computations!$E18)</f>
      </c>
      <c r="W18" s="90">
        <f>IF(Computations!$Z18=8,Computations!Y18,"")</f>
      </c>
      <c r="X18" s="90">
        <f>IF(ISTEXT($W18),"",$W18+Computations!$E18)</f>
      </c>
      <c r="Y18" s="90">
        <f>IF(Computations!$Z18=9,Computations!Y18,"")</f>
      </c>
      <c r="Z18" s="90">
        <f>IF(ISTEXT($Y18),"",$Y18+Computations!$E18)</f>
      </c>
      <c r="AA18" s="90">
        <f>IF(Computations!$Z18=10,Computations!Y18,"")</f>
      </c>
      <c r="AB18" s="90">
        <f>IF(ISTEXT($AA18),"",$AA18+Computations!$E18)</f>
      </c>
      <c r="AC18" s="90">
        <f>IF(Computations!$Z18=11,Computations!Y18,"")</f>
      </c>
      <c r="AD18" s="90">
        <f>IF(ISTEXT($AC18),"",$AC18+Computations!$E18)</f>
      </c>
      <c r="AE18" s="90">
        <f>IF(Computations!$Z18=12,Computations!Y18,"")</f>
      </c>
      <c r="AF18" s="90">
        <f>IF(ISTEXT($AE18),"",$AE18+Computations!$E18)</f>
      </c>
      <c r="AG18" s="90">
        <f t="shared" si="0"/>
      </c>
      <c r="AH18" s="90">
        <f>IF(F18="renege","",Computations!V18)</f>
        <v>0</v>
      </c>
      <c r="AI18" s="90">
        <f>IF(ISTEXT($AH18),"",Computations!$E18+AH18)</f>
        <v>0.010416666666666666</v>
      </c>
    </row>
    <row r="19" spans="1:35" s="65" customFormat="1" ht="12.75">
      <c r="A19" s="88">
        <f>Computations!A19</f>
        <v>8</v>
      </c>
      <c r="B19" s="89">
        <f>IF(ISTEXT(C19),"",Computations!B19)</f>
        <v>2</v>
      </c>
      <c r="C19" s="90">
        <f>IF(Computations!F19="closed",Computations!F18+Computations!C19,Computations!F19)</f>
        <v>0.3895833333333333</v>
      </c>
      <c r="D19" s="89">
        <f>IF(ISTEXT(A19),"",Computations!G19)</f>
        <v>0</v>
      </c>
      <c r="E19" s="88">
        <f>Computations!H19</f>
      </c>
      <c r="F19" s="88">
        <f>Computations!W19</f>
      </c>
      <c r="G19" s="90">
        <f>Computations!X19</f>
      </c>
      <c r="H19" s="88">
        <f>IF(ISTEXT(Computations!Y19),"",Computations!D19)</f>
        <v>15</v>
      </c>
      <c r="I19" s="90">
        <f>IF(Computations!$Z19=1,Computations!Y19,"")</f>
      </c>
      <c r="J19" s="90">
        <f>IF(ISTEXT($I19),"",$I19+Computations!$E19)</f>
      </c>
      <c r="K19" s="90">
        <f>IF(Computations!$Z19=2,Computations!Y19,"")</f>
        <v>0.3895833333333333</v>
      </c>
      <c r="L19" s="90">
        <f>IF(ISTEXT($K19),"",$K19+Computations!$E19)</f>
        <v>0.39999999999999997</v>
      </c>
      <c r="M19" s="90">
        <f>IF(Computations!$Z19=3,Computations!Y19,"")</f>
      </c>
      <c r="N19" s="90">
        <f>IF(ISTEXT($M19),"",$M19+Computations!$E19)</f>
      </c>
      <c r="O19" s="90">
        <f>IF(Computations!$Z19=4,Computations!Y19,"")</f>
      </c>
      <c r="P19" s="90">
        <f>IF(ISTEXT($O19),"",$O19+Computations!$E19)</f>
      </c>
      <c r="Q19" s="90">
        <f>IF(Computations!$Z19=5,Computations!Y19,"")</f>
      </c>
      <c r="R19" s="90">
        <f>IF(ISTEXT($Q19),"",$Q19+Computations!$E19)</f>
      </c>
      <c r="S19" s="90">
        <f>IF(Computations!$Z19=6,Computations!Y19,"")</f>
      </c>
      <c r="T19" s="90">
        <f>IF(ISTEXT($S19),"",$S19+Computations!$E19)</f>
      </c>
      <c r="U19" s="90">
        <f>IF(Computations!$Z19=7,Computations!Y19,"")</f>
      </c>
      <c r="V19" s="90">
        <f>IF(ISTEXT($U19),"",$U19+Computations!$E19)</f>
      </c>
      <c r="W19" s="90">
        <f>IF(Computations!$Z19=8,Computations!Y19,"")</f>
      </c>
      <c r="X19" s="90">
        <f>IF(ISTEXT($W19),"",$W19+Computations!$E19)</f>
      </c>
      <c r="Y19" s="90">
        <f>IF(Computations!$Z19=9,Computations!Y19,"")</f>
      </c>
      <c r="Z19" s="90">
        <f>IF(ISTEXT($Y19),"",$Y19+Computations!$E19)</f>
      </c>
      <c r="AA19" s="90">
        <f>IF(Computations!$Z19=10,Computations!Y19,"")</f>
      </c>
      <c r="AB19" s="90">
        <f>IF(ISTEXT($AA19),"",$AA19+Computations!$E19)</f>
      </c>
      <c r="AC19" s="90">
        <f>IF(Computations!$Z19=11,Computations!Y19,"")</f>
      </c>
      <c r="AD19" s="90">
        <f>IF(ISTEXT($AC19),"",$AC19+Computations!$E19)</f>
      </c>
      <c r="AE19" s="90">
        <f>IF(Computations!$Z19=12,Computations!Y19,"")</f>
      </c>
      <c r="AF19" s="90">
        <f>IF(ISTEXT($AE19),"",$AE19+Computations!$E19)</f>
      </c>
      <c r="AG19" s="90">
        <f t="shared" si="0"/>
      </c>
      <c r="AH19" s="90">
        <f>IF(F19="renege","",Computations!V19)</f>
        <v>0</v>
      </c>
      <c r="AI19" s="90">
        <f>IF(ISTEXT($AH19),"",Computations!$E19+AH19)</f>
        <v>0.010416666666666666</v>
      </c>
    </row>
    <row r="20" spans="1:35" s="65" customFormat="1" ht="12.75">
      <c r="A20" s="88">
        <f>Computations!A20</f>
        <v>9</v>
      </c>
      <c r="B20" s="89">
        <f>IF(ISTEXT(C20),"",Computations!B20)</f>
        <v>4</v>
      </c>
      <c r="C20" s="90">
        <f>IF(Computations!F20="closed",Computations!F19+Computations!C20,Computations!F20)</f>
        <v>0.39236111111111105</v>
      </c>
      <c r="D20" s="89">
        <f>IF(ISTEXT(A20),"",Computations!G20)</f>
        <v>0</v>
      </c>
      <c r="E20" s="88">
        <f>Computations!H20</f>
      </c>
      <c r="F20" s="88">
        <f>Computations!W20</f>
      </c>
      <c r="G20" s="90">
        <f>Computations!X20</f>
      </c>
      <c r="H20" s="88">
        <f>IF(ISTEXT(Computations!Y20),"",Computations!D20)</f>
        <v>15</v>
      </c>
      <c r="I20" s="90">
        <f>IF(Computations!$Z20=1,Computations!Y20,"")</f>
        <v>0.39236111111111105</v>
      </c>
      <c r="J20" s="90">
        <f>IF(ISTEXT($I20),"",$I20+Computations!$E20)</f>
        <v>0.40277777777777773</v>
      </c>
      <c r="K20" s="90">
        <f>IF(Computations!$Z20=2,Computations!Y20,"")</f>
      </c>
      <c r="L20" s="90">
        <f>IF(ISTEXT($K20),"",$K20+Computations!$E20)</f>
      </c>
      <c r="M20" s="90">
        <f>IF(Computations!$Z20=3,Computations!Y20,"")</f>
      </c>
      <c r="N20" s="90">
        <f>IF(ISTEXT($M20),"",$M20+Computations!$E20)</f>
      </c>
      <c r="O20" s="90">
        <f>IF(Computations!$Z20=4,Computations!Y20,"")</f>
      </c>
      <c r="P20" s="90">
        <f>IF(ISTEXT($O20),"",$O20+Computations!$E20)</f>
      </c>
      <c r="Q20" s="90">
        <f>IF(Computations!$Z20=5,Computations!Y20,"")</f>
      </c>
      <c r="R20" s="90">
        <f>IF(ISTEXT($Q20),"",$Q20+Computations!$E20)</f>
      </c>
      <c r="S20" s="90">
        <f>IF(Computations!$Z20=6,Computations!Y20,"")</f>
      </c>
      <c r="T20" s="90">
        <f>IF(ISTEXT($S20),"",$S20+Computations!$E20)</f>
      </c>
      <c r="U20" s="90">
        <f>IF(Computations!$Z20=7,Computations!Y20,"")</f>
      </c>
      <c r="V20" s="90">
        <f>IF(ISTEXT($U20),"",$U20+Computations!$E20)</f>
      </c>
      <c r="W20" s="90">
        <f>IF(Computations!$Z20=8,Computations!Y20,"")</f>
      </c>
      <c r="X20" s="90">
        <f>IF(ISTEXT($W20),"",$W20+Computations!$E20)</f>
      </c>
      <c r="Y20" s="90">
        <f>IF(Computations!$Z20=9,Computations!Y20,"")</f>
      </c>
      <c r="Z20" s="90">
        <f>IF(ISTEXT($Y20),"",$Y20+Computations!$E20)</f>
      </c>
      <c r="AA20" s="90">
        <f>IF(Computations!$Z20=10,Computations!Y20,"")</f>
      </c>
      <c r="AB20" s="90">
        <f>IF(ISTEXT($AA20),"",$AA20+Computations!$E20)</f>
      </c>
      <c r="AC20" s="90">
        <f>IF(Computations!$Z20=11,Computations!Y20,"")</f>
      </c>
      <c r="AD20" s="90">
        <f>IF(ISTEXT($AC20),"",$AC20+Computations!$E20)</f>
      </c>
      <c r="AE20" s="90">
        <f>IF(Computations!$Z20=12,Computations!Y20,"")</f>
      </c>
      <c r="AF20" s="90">
        <f>IF(ISTEXT($AE20),"",$AE20+Computations!$E20)</f>
      </c>
      <c r="AG20" s="90">
        <f t="shared" si="0"/>
      </c>
      <c r="AH20" s="90">
        <f>IF(F20="renege","",Computations!V20)</f>
        <v>0</v>
      </c>
      <c r="AI20" s="90">
        <f>IF(ISTEXT($AH20),"",Computations!$E20+AH20)</f>
        <v>0.010416666666666666</v>
      </c>
    </row>
    <row r="21" spans="1:35" s="65" customFormat="1" ht="12.75">
      <c r="A21" s="88">
        <f>Computations!A21</f>
        <v>10</v>
      </c>
      <c r="B21" s="89">
        <f>IF(ISTEXT(C21),"",Computations!B21)</f>
        <v>2</v>
      </c>
      <c r="C21" s="90">
        <f>IF(Computations!F21="closed",Computations!F20+Computations!C21,Computations!F21)</f>
        <v>0.39374999999999993</v>
      </c>
      <c r="D21" s="89">
        <f>IF(ISTEXT(A21),"",Computations!G21)</f>
        <v>0</v>
      </c>
      <c r="E21" s="88">
        <f>Computations!H21</f>
      </c>
      <c r="F21" s="88">
        <f>Computations!W21</f>
      </c>
      <c r="G21" s="90">
        <f>Computations!X21</f>
      </c>
      <c r="H21" s="88">
        <f>IF(ISTEXT(Computations!Y21),"",Computations!D21)</f>
        <v>15</v>
      </c>
      <c r="I21" s="90">
        <f>IF(Computations!$Z21=1,Computations!Y21,"")</f>
      </c>
      <c r="J21" s="90">
        <f>IF(ISTEXT($I21),"",$I21+Computations!$E21)</f>
      </c>
      <c r="K21" s="90">
        <f>IF(Computations!$Z21=2,Computations!Y21,"")</f>
      </c>
      <c r="L21" s="90">
        <f>IF(ISTEXT($K21),"",$K21+Computations!$E21)</f>
      </c>
      <c r="M21" s="90">
        <f>IF(Computations!$Z21=3,Computations!Y21,"")</f>
        <v>0.39374999999999993</v>
      </c>
      <c r="N21" s="90">
        <f>IF(ISTEXT($M21),"",$M21+Computations!$E21)</f>
        <v>0.4041666666666666</v>
      </c>
      <c r="O21" s="90">
        <f>IF(Computations!$Z21=4,Computations!Y21,"")</f>
      </c>
      <c r="P21" s="90">
        <f>IF(ISTEXT($O21),"",$O21+Computations!$E21)</f>
      </c>
      <c r="Q21" s="90">
        <f>IF(Computations!$Z21=5,Computations!Y21,"")</f>
      </c>
      <c r="R21" s="90">
        <f>IF(ISTEXT($Q21),"",$Q21+Computations!$E21)</f>
      </c>
      <c r="S21" s="90">
        <f>IF(Computations!$Z21=6,Computations!Y21,"")</f>
      </c>
      <c r="T21" s="90">
        <f>IF(ISTEXT($S21),"",$S21+Computations!$E21)</f>
      </c>
      <c r="U21" s="90">
        <f>IF(Computations!$Z21=7,Computations!Y21,"")</f>
      </c>
      <c r="V21" s="90">
        <f>IF(ISTEXT($U21),"",$U21+Computations!$E21)</f>
      </c>
      <c r="W21" s="90">
        <f>IF(Computations!$Z21=8,Computations!Y21,"")</f>
      </c>
      <c r="X21" s="90">
        <f>IF(ISTEXT($W21),"",$W21+Computations!$E21)</f>
      </c>
      <c r="Y21" s="90">
        <f>IF(Computations!$Z21=9,Computations!Y21,"")</f>
      </c>
      <c r="Z21" s="90">
        <f>IF(ISTEXT($Y21),"",$Y21+Computations!$E21)</f>
      </c>
      <c r="AA21" s="90">
        <f>IF(Computations!$Z21=10,Computations!Y21,"")</f>
      </c>
      <c r="AB21" s="90">
        <f>IF(ISTEXT($AA21),"",$AA21+Computations!$E21)</f>
      </c>
      <c r="AC21" s="90">
        <f>IF(Computations!$Z21=11,Computations!Y21,"")</f>
      </c>
      <c r="AD21" s="90">
        <f>IF(ISTEXT($AC21),"",$AC21+Computations!$E21)</f>
      </c>
      <c r="AE21" s="90">
        <f>IF(Computations!$Z21=12,Computations!Y21,"")</f>
      </c>
      <c r="AF21" s="90">
        <f>IF(ISTEXT($AE21),"",$AE21+Computations!$E21)</f>
      </c>
      <c r="AG21" s="90">
        <f t="shared" si="0"/>
      </c>
      <c r="AH21" s="90">
        <f>IF(F21="renege","",Computations!V21)</f>
        <v>0</v>
      </c>
      <c r="AI21" s="90">
        <f>IF(ISTEXT($AH21),"",Computations!$E21+AH21)</f>
        <v>0.010416666666666666</v>
      </c>
    </row>
    <row r="22" spans="1:35" s="65" customFormat="1" ht="12.75">
      <c r="A22" s="88">
        <f>Computations!A22</f>
        <v>11</v>
      </c>
      <c r="B22" s="89">
        <f>IF(ISTEXT(C22),"",Computations!B22)</f>
        <v>2</v>
      </c>
      <c r="C22" s="90">
        <f>IF(Computations!F22="closed",Computations!F21+Computations!C22,Computations!F22)</f>
        <v>0.3951388888888888</v>
      </c>
      <c r="D22" s="89">
        <f>IF(ISTEXT(A22),"",Computations!G22)</f>
        <v>0</v>
      </c>
      <c r="E22" s="88">
        <f>Computations!H22</f>
      </c>
      <c r="F22" s="88">
        <f>Computations!W22</f>
      </c>
      <c r="G22" s="90">
        <f>Computations!X22</f>
      </c>
      <c r="H22" s="88">
        <f>IF(ISTEXT(Computations!Y22),"",Computations!D22)</f>
        <v>15</v>
      </c>
      <c r="I22" s="90">
        <f>IF(Computations!$Z22=1,Computations!Y22,"")</f>
      </c>
      <c r="J22" s="90">
        <f>IF(ISTEXT($I22),"",$I22+Computations!$E22)</f>
      </c>
      <c r="K22" s="90">
        <f>IF(Computations!$Z22=2,Computations!Y22,"")</f>
      </c>
      <c r="L22" s="90">
        <f>IF(ISTEXT($K22),"",$K22+Computations!$E22)</f>
      </c>
      <c r="M22" s="90">
        <f>IF(Computations!$Z22=3,Computations!Y22,"")</f>
      </c>
      <c r="N22" s="90">
        <f>IF(ISTEXT($M22),"",$M22+Computations!$E22)</f>
      </c>
      <c r="O22" s="90">
        <f>IF(Computations!$Z22=4,Computations!Y22,"")</f>
      </c>
      <c r="P22" s="90">
        <f>IF(ISTEXT($O22),"",$O22+Computations!$E22)</f>
      </c>
      <c r="Q22" s="90">
        <f>IF(Computations!$Z22=5,Computations!Y22,"")</f>
      </c>
      <c r="R22" s="90">
        <f>IF(ISTEXT($Q22),"",$Q22+Computations!$E22)</f>
      </c>
      <c r="S22" s="90">
        <f>IF(Computations!$Z22=6,Computations!Y22,"")</f>
      </c>
      <c r="T22" s="90">
        <f>IF(ISTEXT($S22),"",$S22+Computations!$E22)</f>
      </c>
      <c r="U22" s="90">
        <f>IF(Computations!$Z22=7,Computations!Y22,"")</f>
        <v>0.3951388888888888</v>
      </c>
      <c r="V22" s="90">
        <f>IF(ISTEXT($U22),"",$U22+Computations!$E22)</f>
        <v>0.4055555555555555</v>
      </c>
      <c r="W22" s="90">
        <f>IF(Computations!$Z22=8,Computations!Y22,"")</f>
      </c>
      <c r="X22" s="90">
        <f>IF(ISTEXT($W22),"",$W22+Computations!$E22)</f>
      </c>
      <c r="Y22" s="90">
        <f>IF(Computations!$Z22=9,Computations!Y22,"")</f>
      </c>
      <c r="Z22" s="90">
        <f>IF(ISTEXT($Y22),"",$Y22+Computations!$E22)</f>
      </c>
      <c r="AA22" s="90">
        <f>IF(Computations!$Z22=10,Computations!Y22,"")</f>
      </c>
      <c r="AB22" s="90">
        <f>IF(ISTEXT($AA22),"",$AA22+Computations!$E22)</f>
      </c>
      <c r="AC22" s="90">
        <f>IF(Computations!$Z22=11,Computations!Y22,"")</f>
      </c>
      <c r="AD22" s="90">
        <f>IF(ISTEXT($AC22),"",$AC22+Computations!$E22)</f>
      </c>
      <c r="AE22" s="90">
        <f>IF(Computations!$Z22=12,Computations!Y22,"")</f>
      </c>
      <c r="AF22" s="90">
        <f>IF(ISTEXT($AE22),"",$AE22+Computations!$E22)</f>
      </c>
      <c r="AG22" s="90">
        <f t="shared" si="0"/>
      </c>
      <c r="AH22" s="90">
        <f>IF(F22="renege","",Computations!V22)</f>
        <v>0</v>
      </c>
      <c r="AI22" s="90">
        <f>IF(ISTEXT($AH22),"",Computations!$E22+AH22)</f>
        <v>0.010416666666666666</v>
      </c>
    </row>
    <row r="23" spans="1:45" ht="12.75">
      <c r="A23" s="88">
        <f>Computations!A23</f>
        <v>12</v>
      </c>
      <c r="B23" s="89">
        <f>IF(ISTEXT(C23),"",Computations!B23)</f>
        <v>2</v>
      </c>
      <c r="C23" s="90">
        <f>IF(Computations!F23="closed",Computations!F22+Computations!C23,Computations!F23)</f>
        <v>0.3965277777777777</v>
      </c>
      <c r="D23" s="89">
        <f>IF(ISTEXT(A23),"",Computations!G23)</f>
        <v>0</v>
      </c>
      <c r="E23" s="88">
        <f>Computations!H23</f>
      </c>
      <c r="F23" s="88">
        <f>Computations!W23</f>
      </c>
      <c r="G23" s="90">
        <f>Computations!X23</f>
      </c>
      <c r="H23" s="88">
        <f>IF(ISTEXT(Computations!Y23),"",Computations!D23)</f>
        <v>10</v>
      </c>
      <c r="I23" s="90">
        <f>IF(Computations!$Z23=1,Computations!Y23,"")</f>
      </c>
      <c r="J23" s="90">
        <f>IF(ISTEXT($I23),"",$I23+Computations!$E23)</f>
      </c>
      <c r="K23" s="90">
        <f>IF(Computations!$Z23=2,Computations!Y23,"")</f>
      </c>
      <c r="L23" s="90">
        <f>IF(ISTEXT($K23),"",$K23+Computations!$E23)</f>
      </c>
      <c r="M23" s="90">
        <f>IF(Computations!$Z23=3,Computations!Y23,"")</f>
      </c>
      <c r="N23" s="90">
        <f>IF(ISTEXT($M23),"",$M23+Computations!$E23)</f>
      </c>
      <c r="O23" s="90">
        <f>IF(Computations!$Z23=4,Computations!Y23,"")</f>
      </c>
      <c r="P23" s="90">
        <f>IF(ISTEXT($O23),"",$O23+Computations!$E23)</f>
      </c>
      <c r="Q23" s="90">
        <f>IF(Computations!$Z23=5,Computations!Y23,"")</f>
      </c>
      <c r="R23" s="90">
        <f>IF(ISTEXT($Q23),"",$Q23+Computations!$E23)</f>
      </c>
      <c r="S23" s="90">
        <f>IF(Computations!$Z23=6,Computations!Y23,"")</f>
        <v>0.3965277777777777</v>
      </c>
      <c r="T23" s="90">
        <f>IF(ISTEXT($S23),"",$S23+Computations!$E23)</f>
        <v>0.4034722222222221</v>
      </c>
      <c r="U23" s="90">
        <f>IF(Computations!$Z23=7,Computations!Y23,"")</f>
      </c>
      <c r="V23" s="90">
        <f>IF(ISTEXT($U23),"",$U23+Computations!$E23)</f>
      </c>
      <c r="W23" s="90">
        <f>IF(Computations!$Z23=8,Computations!Y23,"")</f>
      </c>
      <c r="X23" s="90">
        <f>IF(ISTEXT($W23),"",$W23+Computations!$E23)</f>
      </c>
      <c r="Y23" s="90">
        <f>IF(Computations!$Z23=9,Computations!Y23,"")</f>
      </c>
      <c r="Z23" s="90">
        <f>IF(ISTEXT($Y23),"",$Y23+Computations!$E23)</f>
      </c>
      <c r="AA23" s="90">
        <f>IF(Computations!$Z23=10,Computations!Y23,"")</f>
      </c>
      <c r="AB23" s="90">
        <f>IF(ISTEXT($AA23),"",$AA23+Computations!$E23)</f>
      </c>
      <c r="AC23" s="90">
        <f>IF(Computations!$Z23=11,Computations!Y23,"")</f>
      </c>
      <c r="AD23" s="90">
        <f>IF(ISTEXT($AC23),"",$AC23+Computations!$E23)</f>
      </c>
      <c r="AE23" s="90">
        <f>IF(Computations!$Z23=12,Computations!Y23,"")</f>
      </c>
      <c r="AF23" s="90">
        <f>IF(ISTEXT($AE23),"",$AE23+Computations!$E23)</f>
      </c>
      <c r="AG23" s="90">
        <f t="shared" si="0"/>
      </c>
      <c r="AH23" s="90">
        <f>IF(F23="renege","",Computations!V23)</f>
        <v>0</v>
      </c>
      <c r="AI23" s="90">
        <f>IF(ISTEXT($AH23),"",Computations!$E23+AH23)</f>
        <v>0.006944444444444444</v>
      </c>
      <c r="AS23" s="65"/>
    </row>
    <row r="24" spans="1:35" ht="12.75">
      <c r="A24" s="88">
        <f>Computations!A24</f>
        <v>13</v>
      </c>
      <c r="B24" s="89">
        <f>IF(ISTEXT(C24),"",Computations!B24)</f>
        <v>2</v>
      </c>
      <c r="C24" s="90">
        <f>IF(Computations!F24="closed",Computations!F23+Computations!C24,Computations!F24)</f>
        <v>0.3979166666666666</v>
      </c>
      <c r="D24" s="89">
        <f>IF(ISTEXT(A24),"",Computations!G24)</f>
        <v>0</v>
      </c>
      <c r="E24" s="88">
        <f>Computations!H24</f>
      </c>
      <c r="F24" s="88">
        <f>Computations!W24</f>
      </c>
      <c r="G24" s="90">
        <f>Computations!X24</f>
      </c>
      <c r="H24" s="88">
        <f>IF(ISTEXT(Computations!Y24),"",Computations!D24)</f>
        <v>15</v>
      </c>
      <c r="I24" s="90">
        <f>IF(Computations!$Z24=1,Computations!Y24,"")</f>
      </c>
      <c r="J24" s="90">
        <f>IF(ISTEXT($I24),"",$I24+Computations!$E24)</f>
      </c>
      <c r="K24" s="90">
        <f>IF(Computations!$Z24=2,Computations!Y24,"")</f>
      </c>
      <c r="L24" s="90">
        <f>IF(ISTEXT($K24),"",$K24+Computations!$E24)</f>
      </c>
      <c r="M24" s="90">
        <f>IF(Computations!$Z24=3,Computations!Y24,"")</f>
      </c>
      <c r="N24" s="90">
        <f>IF(ISTEXT($M24),"",$M24+Computations!$E24)</f>
      </c>
      <c r="O24" s="90">
        <f>IF(Computations!$Z24=4,Computations!Y24,"")</f>
      </c>
      <c r="P24" s="90">
        <f>IF(ISTEXT($O24),"",$O24+Computations!$E24)</f>
      </c>
      <c r="Q24" s="90">
        <f>IF(Computations!$Z24=5,Computations!Y24,"")</f>
        <v>0.3979166666666666</v>
      </c>
      <c r="R24" s="90">
        <f>IF(ISTEXT($Q24),"",$Q24+Computations!$E24)</f>
        <v>0.40833333333333327</v>
      </c>
      <c r="S24" s="90">
        <f>IF(Computations!$Z24=6,Computations!Y24,"")</f>
      </c>
      <c r="T24" s="90">
        <f>IF(ISTEXT($S24),"",$S24+Computations!$E24)</f>
      </c>
      <c r="U24" s="90">
        <f>IF(Computations!$Z24=7,Computations!Y24,"")</f>
      </c>
      <c r="V24" s="90">
        <f>IF(ISTEXT($U24),"",$U24+Computations!$E24)</f>
      </c>
      <c r="W24" s="90">
        <f>IF(Computations!$Z24=8,Computations!Y24,"")</f>
      </c>
      <c r="X24" s="90">
        <f>IF(ISTEXT($W24),"",$W24+Computations!$E24)</f>
      </c>
      <c r="Y24" s="90">
        <f>IF(Computations!$Z24=9,Computations!Y24,"")</f>
      </c>
      <c r="Z24" s="90">
        <f>IF(ISTEXT($Y24),"",$Y24+Computations!$E24)</f>
      </c>
      <c r="AA24" s="90">
        <f>IF(Computations!$Z24=10,Computations!Y24,"")</f>
      </c>
      <c r="AB24" s="90">
        <f>IF(ISTEXT($AA24),"",$AA24+Computations!$E24)</f>
      </c>
      <c r="AC24" s="90">
        <f>IF(Computations!$Z24=11,Computations!Y24,"")</f>
      </c>
      <c r="AD24" s="90">
        <f>IF(ISTEXT($AC24),"",$AC24+Computations!$E24)</f>
      </c>
      <c r="AE24" s="90">
        <f>IF(Computations!$Z24=12,Computations!Y24,"")</f>
      </c>
      <c r="AF24" s="90">
        <f>IF(ISTEXT($AE24),"",$AE24+Computations!$E24)</f>
      </c>
      <c r="AG24" s="90">
        <f t="shared" si="0"/>
      </c>
      <c r="AH24" s="90">
        <f>IF(F24="renege","",Computations!V24)</f>
        <v>0</v>
      </c>
      <c r="AI24" s="90">
        <f>IF(ISTEXT($AH24),"",Computations!$E24+AH24)</f>
        <v>0.010416666666666666</v>
      </c>
    </row>
    <row r="25" spans="1:35" ht="12.75">
      <c r="A25" s="88">
        <f>Computations!A25</f>
        <v>14</v>
      </c>
      <c r="B25" s="89">
        <f>IF(ISTEXT(C25),"",Computations!B25)</f>
        <v>4</v>
      </c>
      <c r="C25" s="90">
        <f>IF(Computations!F25="closed",Computations!F24+Computations!C25,Computations!F25)</f>
        <v>0.40069444444444435</v>
      </c>
      <c r="D25" s="89">
        <f>IF(ISTEXT(A25),"",Computations!G25)</f>
        <v>0</v>
      </c>
      <c r="E25" s="88">
        <f>Computations!H25</f>
      </c>
      <c r="F25" s="88">
        <f>Computations!W25</f>
      </c>
      <c r="G25" s="90">
        <f>Computations!X25</f>
      </c>
      <c r="H25" s="88">
        <f>IF(ISTEXT(Computations!Y25),"",Computations!D25)</f>
        <v>20</v>
      </c>
      <c r="I25" s="90">
        <f>IF(Computations!$Z25=1,Computations!Y25,"")</f>
      </c>
      <c r="J25" s="90">
        <f>IF(ISTEXT($I25),"",$I25+Computations!$E25)</f>
      </c>
      <c r="K25" s="90">
        <f>IF(Computations!$Z25=2,Computations!Y25,"")</f>
        <v>0.40069444444444435</v>
      </c>
      <c r="L25" s="90">
        <f>IF(ISTEXT($K25),"",$K25+Computations!$E25)</f>
        <v>0.41458333333333325</v>
      </c>
      <c r="M25" s="90">
        <f>IF(Computations!$Z25=3,Computations!Y25,"")</f>
      </c>
      <c r="N25" s="90">
        <f>IF(ISTEXT($M25),"",$M25+Computations!$E25)</f>
      </c>
      <c r="O25" s="90">
        <f>IF(Computations!$Z25=4,Computations!Y25,"")</f>
      </c>
      <c r="P25" s="90">
        <f>IF(ISTEXT($O25),"",$O25+Computations!$E25)</f>
      </c>
      <c r="Q25" s="90">
        <f>IF(Computations!$Z25=5,Computations!Y25,"")</f>
      </c>
      <c r="R25" s="90">
        <f>IF(ISTEXT($Q25),"",$Q25+Computations!$E25)</f>
      </c>
      <c r="S25" s="90">
        <f>IF(Computations!$Z25=6,Computations!Y25,"")</f>
      </c>
      <c r="T25" s="90">
        <f>IF(ISTEXT($S25),"",$S25+Computations!$E25)</f>
      </c>
      <c r="U25" s="90">
        <f>IF(Computations!$Z25=7,Computations!Y25,"")</f>
      </c>
      <c r="V25" s="90">
        <f>IF(ISTEXT($U25),"",$U25+Computations!$E25)</f>
      </c>
      <c r="W25" s="90">
        <f>IF(Computations!$Z25=8,Computations!Y25,"")</f>
      </c>
      <c r="X25" s="90">
        <f>IF(ISTEXT($W25),"",$W25+Computations!$E25)</f>
      </c>
      <c r="Y25" s="90">
        <f>IF(Computations!$Z25=9,Computations!Y25,"")</f>
      </c>
      <c r="Z25" s="90">
        <f>IF(ISTEXT($Y25),"",$Y25+Computations!$E25)</f>
      </c>
      <c r="AA25" s="90">
        <f>IF(Computations!$Z25=10,Computations!Y25,"")</f>
      </c>
      <c r="AB25" s="90">
        <f>IF(ISTEXT($AA25),"",$AA25+Computations!$E25)</f>
      </c>
      <c r="AC25" s="90">
        <f>IF(Computations!$Z25=11,Computations!Y25,"")</f>
      </c>
      <c r="AD25" s="90">
        <f>IF(ISTEXT($AC25),"",$AC25+Computations!$E25)</f>
      </c>
      <c r="AE25" s="90">
        <f>IF(Computations!$Z25=12,Computations!Y25,"")</f>
      </c>
      <c r="AF25" s="90">
        <f>IF(ISTEXT($AE25),"",$AE25+Computations!$E25)</f>
      </c>
      <c r="AG25" s="90">
        <f t="shared" si="0"/>
      </c>
      <c r="AH25" s="90">
        <f>IF(F25="renege","",Computations!V25)</f>
        <v>0</v>
      </c>
      <c r="AI25" s="90">
        <f>IF(ISTEXT($AH25),"",Computations!$E25+AH25)</f>
        <v>0.013888888888888888</v>
      </c>
    </row>
    <row r="26" spans="1:35" ht="12.75">
      <c r="A26" s="88">
        <f>Computations!A26</f>
        <v>15</v>
      </c>
      <c r="B26" s="89">
        <f>IF(ISTEXT(C26),"",Computations!B26)</f>
        <v>1</v>
      </c>
      <c r="C26" s="90">
        <f>IF(Computations!F26="closed",Computations!F25+Computations!C26,Computations!F26)</f>
        <v>0.4013888888888888</v>
      </c>
      <c r="D26" s="89">
        <f>IF(ISTEXT(A26),"",Computations!G26)</f>
        <v>0</v>
      </c>
      <c r="E26" s="88">
        <f>Computations!H26</f>
      </c>
      <c r="F26" s="88">
        <f>Computations!W26</f>
      </c>
      <c r="G26" s="90">
        <f>Computations!X26</f>
      </c>
      <c r="H26" s="88">
        <f>IF(ISTEXT(Computations!Y26),"",Computations!D26)</f>
        <v>15</v>
      </c>
      <c r="I26" s="90">
        <f>IF(Computations!$Z26=1,Computations!Y26,"")</f>
      </c>
      <c r="J26" s="90">
        <f>IF(ISTEXT($I26),"",$I26+Computations!$E26)</f>
      </c>
      <c r="K26" s="90">
        <f>IF(Computations!$Z26=2,Computations!Y26,"")</f>
      </c>
      <c r="L26" s="90">
        <f>IF(ISTEXT($K26),"",$K26+Computations!$E26)</f>
      </c>
      <c r="M26" s="90">
        <f>IF(Computations!$Z26=3,Computations!Y26,"")</f>
      </c>
      <c r="N26" s="90">
        <f>IF(ISTEXT($M26),"",$M26+Computations!$E26)</f>
      </c>
      <c r="O26" s="90">
        <f>IF(Computations!$Z26=4,Computations!Y26,"")</f>
        <v>0.4013888888888888</v>
      </c>
      <c r="P26" s="90">
        <f>IF(ISTEXT($O26),"",$O26+Computations!$E26)</f>
        <v>0.4118055555555555</v>
      </c>
      <c r="Q26" s="90">
        <f>IF(Computations!$Z26=5,Computations!Y26,"")</f>
      </c>
      <c r="R26" s="90">
        <f>IF(ISTEXT($Q26),"",$Q26+Computations!$E26)</f>
      </c>
      <c r="S26" s="90">
        <f>IF(Computations!$Z26=6,Computations!Y26,"")</f>
      </c>
      <c r="T26" s="90">
        <f>IF(ISTEXT($S26),"",$S26+Computations!$E26)</f>
      </c>
      <c r="U26" s="90">
        <f>IF(Computations!$Z26=7,Computations!Y26,"")</f>
      </c>
      <c r="V26" s="90">
        <f>IF(ISTEXT($U26),"",$U26+Computations!$E26)</f>
      </c>
      <c r="W26" s="90">
        <f>IF(Computations!$Z26=8,Computations!Y26,"")</f>
      </c>
      <c r="X26" s="90">
        <f>IF(ISTEXT($W26),"",$W26+Computations!$E26)</f>
      </c>
      <c r="Y26" s="90">
        <f>IF(Computations!$Z26=9,Computations!Y26,"")</f>
      </c>
      <c r="Z26" s="90">
        <f>IF(ISTEXT($Y26),"",$Y26+Computations!$E26)</f>
      </c>
      <c r="AA26" s="90">
        <f>IF(Computations!$Z26=10,Computations!Y26,"")</f>
      </c>
      <c r="AB26" s="90">
        <f>IF(ISTEXT($AA26),"",$AA26+Computations!$E26)</f>
      </c>
      <c r="AC26" s="90">
        <f>IF(Computations!$Z26=11,Computations!Y26,"")</f>
      </c>
      <c r="AD26" s="90">
        <f>IF(ISTEXT($AC26),"",$AC26+Computations!$E26)</f>
      </c>
      <c r="AE26" s="90">
        <f>IF(Computations!$Z26=12,Computations!Y26,"")</f>
      </c>
      <c r="AF26" s="90">
        <f>IF(ISTEXT($AE26),"",$AE26+Computations!$E26)</f>
      </c>
      <c r="AG26" s="90">
        <f t="shared" si="0"/>
      </c>
      <c r="AH26" s="90">
        <f>IF(F26="renege","",Computations!V26)</f>
        <v>0</v>
      </c>
      <c r="AI26" s="90">
        <f>IF(ISTEXT($AH26),"",Computations!$E26+AH26)</f>
        <v>0.010416666666666666</v>
      </c>
    </row>
    <row r="27" spans="5:19" ht="12.75">
      <c r="E27" s="65"/>
      <c r="F27" s="65"/>
      <c r="G27" s="85"/>
      <c r="I27" s="85"/>
      <c r="S27" s="90"/>
    </row>
    <row r="28" spans="12:41" ht="12.75"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85"/>
      <c r="AO28" s="12"/>
    </row>
    <row r="29" spans="9:43" ht="12.75">
      <c r="I29" s="86"/>
      <c r="AQ29" s="78"/>
    </row>
    <row r="31" ht="12.75">
      <c r="AO31" s="12"/>
    </row>
    <row r="32" spans="8:41" ht="12.75">
      <c r="H32" s="87"/>
      <c r="AO32" s="12"/>
    </row>
    <row r="33" ht="12.75">
      <c r="AO33" s="12"/>
    </row>
    <row r="34" ht="12.75">
      <c r="AO34" s="12"/>
    </row>
    <row r="35" ht="12.75">
      <c r="AO35" s="12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O41"/>
  <sheetViews>
    <sheetView zoomScale="75" zoomScaleNormal="75" workbookViewId="0" topLeftCell="U6">
      <selection activeCell="AD12" sqref="AD12:AO41"/>
    </sheetView>
  </sheetViews>
  <sheetFormatPr defaultColWidth="9.140625" defaultRowHeight="12.75"/>
  <cols>
    <col min="1" max="1" width="6.28125" style="11" customWidth="1"/>
    <col min="2" max="2" width="12.7109375" style="66" customWidth="1"/>
    <col min="3" max="3" width="13.28125" style="52" customWidth="1"/>
    <col min="4" max="4" width="11.421875" style="68" customWidth="1"/>
    <col min="5" max="5" width="9.421875" style="52" customWidth="1"/>
    <col min="6" max="6" width="9.140625" style="52" customWidth="1"/>
    <col min="7" max="7" width="10.57421875" style="51" customWidth="1"/>
    <col min="8" max="8" width="7.140625" style="51" customWidth="1"/>
    <col min="9" max="20" width="10.57421875" style="51" customWidth="1"/>
    <col min="21" max="21" width="11.7109375" style="51" customWidth="1"/>
    <col min="22" max="22" width="10.57421875" style="51" customWidth="1"/>
    <col min="23" max="23" width="10.00390625" style="21" customWidth="1"/>
    <col min="24" max="24" width="9.140625" style="53" customWidth="1"/>
    <col min="25" max="25" width="11.7109375" style="53" customWidth="1"/>
    <col min="26" max="26" width="8.00390625" style="51" customWidth="1"/>
    <col min="27" max="30" width="9.140625" style="13" customWidth="1"/>
    <col min="31" max="16384" width="9.140625" style="52" customWidth="1"/>
  </cols>
  <sheetData>
    <row r="1" spans="1:5" ht="12.75">
      <c r="A1" s="13"/>
      <c r="B1" s="48"/>
      <c r="C1" s="49" t="s">
        <v>46</v>
      </c>
      <c r="D1" s="50"/>
      <c r="E1" s="51"/>
    </row>
    <row r="2" spans="1:5" ht="12.75">
      <c r="A2" s="13"/>
      <c r="B2" s="48"/>
      <c r="C2" s="49"/>
      <c r="D2" s="50"/>
      <c r="E2" s="92">
        <f>Data!H4/1440</f>
        <v>0.001388888888888889</v>
      </c>
    </row>
    <row r="3" spans="1:25" ht="12.75">
      <c r="A3" s="13"/>
      <c r="B3" s="48"/>
      <c r="D3" s="50"/>
      <c r="E3" s="53"/>
      <c r="Y3" s="54"/>
    </row>
    <row r="4" spans="1:5" ht="12.75">
      <c r="A4" s="13"/>
      <c r="B4" s="48"/>
      <c r="D4" s="50"/>
      <c r="E4" s="53"/>
    </row>
    <row r="5" spans="2:25" ht="12.75">
      <c r="B5" s="55"/>
      <c r="D5" s="50"/>
      <c r="E5" s="53"/>
      <c r="Y5" s="54"/>
    </row>
    <row r="6" spans="1:26" s="57" customFormat="1" ht="12.75">
      <c r="A6" s="14"/>
      <c r="B6" s="56" t="s">
        <v>47</v>
      </c>
      <c r="D6" s="56" t="s">
        <v>11</v>
      </c>
      <c r="G6" s="58" t="s">
        <v>16</v>
      </c>
      <c r="H6" s="58"/>
      <c r="I6" s="58" t="s">
        <v>48</v>
      </c>
      <c r="J6" s="58" t="s">
        <v>48</v>
      </c>
      <c r="K6" s="58" t="s">
        <v>48</v>
      </c>
      <c r="L6" s="58" t="s">
        <v>48</v>
      </c>
      <c r="M6" s="58" t="s">
        <v>48</v>
      </c>
      <c r="N6" s="58" t="s">
        <v>48</v>
      </c>
      <c r="O6" s="58" t="s">
        <v>48</v>
      </c>
      <c r="P6" s="58" t="s">
        <v>48</v>
      </c>
      <c r="Q6" s="58" t="s">
        <v>48</v>
      </c>
      <c r="R6" s="58" t="s">
        <v>48</v>
      </c>
      <c r="S6" s="58" t="s">
        <v>48</v>
      </c>
      <c r="T6" s="58" t="s">
        <v>48</v>
      </c>
      <c r="U6" s="58"/>
      <c r="V6" s="58" t="s">
        <v>48</v>
      </c>
      <c r="W6" s="58"/>
      <c r="X6" s="54"/>
      <c r="Y6" s="54"/>
      <c r="Z6" s="58"/>
    </row>
    <row r="7" spans="1:28" s="57" customFormat="1" ht="12.75">
      <c r="A7" s="59" t="s">
        <v>17</v>
      </c>
      <c r="B7" s="56" t="s">
        <v>14</v>
      </c>
      <c r="C7" s="58" t="s">
        <v>10</v>
      </c>
      <c r="D7" s="56" t="s">
        <v>14</v>
      </c>
      <c r="E7" s="58" t="s">
        <v>49</v>
      </c>
      <c r="F7" s="58" t="s">
        <v>18</v>
      </c>
      <c r="G7" s="59" t="s">
        <v>19</v>
      </c>
      <c r="H7" s="58"/>
      <c r="I7" s="58" t="s">
        <v>50</v>
      </c>
      <c r="J7" s="58" t="s">
        <v>51</v>
      </c>
      <c r="K7" s="58" t="s">
        <v>52</v>
      </c>
      <c r="L7" s="58" t="s">
        <v>53</v>
      </c>
      <c r="M7" s="58" t="s">
        <v>54</v>
      </c>
      <c r="N7" s="58" t="s">
        <v>55</v>
      </c>
      <c r="O7" s="58" t="s">
        <v>56</v>
      </c>
      <c r="P7" s="58" t="s">
        <v>57</v>
      </c>
      <c r="Q7" s="58" t="s">
        <v>58</v>
      </c>
      <c r="R7" s="58" t="s">
        <v>59</v>
      </c>
      <c r="S7" s="58" t="s">
        <v>60</v>
      </c>
      <c r="T7" s="58" t="s">
        <v>61</v>
      </c>
      <c r="U7" s="54" t="s">
        <v>62</v>
      </c>
      <c r="V7" s="58" t="s">
        <v>33</v>
      </c>
      <c r="W7" s="58"/>
      <c r="X7" s="60" t="s">
        <v>20</v>
      </c>
      <c r="Y7" s="58" t="s">
        <v>63</v>
      </c>
      <c r="Z7" s="58" t="s">
        <v>64</v>
      </c>
      <c r="AA7" s="58" t="s">
        <v>11</v>
      </c>
      <c r="AB7" s="57" t="s">
        <v>120</v>
      </c>
    </row>
    <row r="8" spans="1:28" s="57" customFormat="1" ht="12.75">
      <c r="A8" s="59" t="s">
        <v>35</v>
      </c>
      <c r="B8" s="56" t="s">
        <v>65</v>
      </c>
      <c r="C8" s="58" t="s">
        <v>66</v>
      </c>
      <c r="D8" s="56" t="s">
        <v>65</v>
      </c>
      <c r="E8" s="58" t="s">
        <v>14</v>
      </c>
      <c r="F8" s="58" t="s">
        <v>14</v>
      </c>
      <c r="G8" s="59" t="s">
        <v>36</v>
      </c>
      <c r="H8" s="58" t="s">
        <v>37</v>
      </c>
      <c r="I8" s="58" t="s">
        <v>14</v>
      </c>
      <c r="J8" s="58" t="s">
        <v>14</v>
      </c>
      <c r="K8" s="58" t="s">
        <v>14</v>
      </c>
      <c r="L8" s="58" t="s">
        <v>14</v>
      </c>
      <c r="M8" s="58" t="s">
        <v>14</v>
      </c>
      <c r="N8" s="58" t="s">
        <v>14</v>
      </c>
      <c r="O8" s="58" t="s">
        <v>14</v>
      </c>
      <c r="P8" s="58" t="s">
        <v>14</v>
      </c>
      <c r="Q8" s="58" t="s">
        <v>14</v>
      </c>
      <c r="R8" s="58" t="s">
        <v>14</v>
      </c>
      <c r="S8" s="58" t="s">
        <v>14</v>
      </c>
      <c r="T8" s="58" t="s">
        <v>14</v>
      </c>
      <c r="U8" s="54" t="s">
        <v>1</v>
      </c>
      <c r="V8" s="58" t="s">
        <v>14</v>
      </c>
      <c r="W8" s="58" t="s">
        <v>38</v>
      </c>
      <c r="X8" s="60" t="s">
        <v>39</v>
      </c>
      <c r="Y8" s="58" t="s">
        <v>1</v>
      </c>
      <c r="Z8" s="58" t="s">
        <v>67</v>
      </c>
      <c r="AA8" s="58" t="s">
        <v>14</v>
      </c>
      <c r="AB8" s="57" t="s">
        <v>42</v>
      </c>
    </row>
    <row r="9" spans="1:30" s="57" customFormat="1" ht="13.5" thickBot="1">
      <c r="A9" s="61"/>
      <c r="B9" s="62" t="s">
        <v>15</v>
      </c>
      <c r="C9" s="63" t="s">
        <v>68</v>
      </c>
      <c r="D9" s="62" t="s">
        <v>15</v>
      </c>
      <c r="E9" s="63" t="s">
        <v>68</v>
      </c>
      <c r="F9" s="63" t="s">
        <v>43</v>
      </c>
      <c r="G9" s="61" t="s">
        <v>44</v>
      </c>
      <c r="H9" s="63"/>
      <c r="I9" s="63" t="s">
        <v>43</v>
      </c>
      <c r="J9" s="63" t="s">
        <v>43</v>
      </c>
      <c r="K9" s="63" t="s">
        <v>43</v>
      </c>
      <c r="L9" s="63" t="s">
        <v>43</v>
      </c>
      <c r="M9" s="63" t="s">
        <v>43</v>
      </c>
      <c r="N9" s="63" t="s">
        <v>43</v>
      </c>
      <c r="O9" s="63" t="s">
        <v>43</v>
      </c>
      <c r="P9" s="63" t="s">
        <v>43</v>
      </c>
      <c r="Q9" s="63" t="s">
        <v>43</v>
      </c>
      <c r="R9" s="63" t="s">
        <v>43</v>
      </c>
      <c r="S9" s="63" t="s">
        <v>43</v>
      </c>
      <c r="T9" s="63" t="s">
        <v>43</v>
      </c>
      <c r="U9" s="63" t="s">
        <v>43</v>
      </c>
      <c r="V9" s="63" t="s">
        <v>43</v>
      </c>
      <c r="W9" s="63"/>
      <c r="X9" s="64" t="s">
        <v>43</v>
      </c>
      <c r="Y9" s="63" t="s">
        <v>43</v>
      </c>
      <c r="Z9" s="63"/>
      <c r="AA9" s="58" t="s">
        <v>119</v>
      </c>
      <c r="AD9" s="98" t="s">
        <v>121</v>
      </c>
    </row>
    <row r="10" spans="1:27" ht="12.75">
      <c r="A10" s="65"/>
      <c r="C10" s="51"/>
      <c r="D10" s="67"/>
      <c r="E10" s="51"/>
      <c r="F10" s="51"/>
      <c r="AA10" s="21"/>
    </row>
    <row r="11" spans="1:41" ht="12.75">
      <c r="A11" s="65" t="s">
        <v>45</v>
      </c>
      <c r="C11" s="51"/>
      <c r="D11" s="67"/>
      <c r="E11" s="51"/>
      <c r="F11" s="91">
        <f>start_time</f>
        <v>0.375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AA11" s="21"/>
      <c r="AD11" s="13" t="s">
        <v>122</v>
      </c>
      <c r="AE11" s="52" t="s">
        <v>123</v>
      </c>
      <c r="AF11" s="52" t="s">
        <v>124</v>
      </c>
      <c r="AG11" s="52" t="s">
        <v>125</v>
      </c>
      <c r="AH11" s="52" t="s">
        <v>126</v>
      </c>
      <c r="AI11" s="52" t="s">
        <v>127</v>
      </c>
      <c r="AJ11" s="52" t="s">
        <v>128</v>
      </c>
      <c r="AK11" s="52" t="s">
        <v>129</v>
      </c>
      <c r="AL11" s="52" t="s">
        <v>130</v>
      </c>
      <c r="AM11" s="52" t="s">
        <v>131</v>
      </c>
      <c r="AN11" s="52" t="s">
        <v>132</v>
      </c>
      <c r="AO11" s="52" t="s">
        <v>133</v>
      </c>
    </row>
    <row r="12" spans="1:41" ht="12.75">
      <c r="A12" s="88">
        <f>IF(ISTEXT(F12),"closed",1)</f>
        <v>1</v>
      </c>
      <c r="B12" s="67">
        <f ca="1">VLOOKUP(RAND(),arrival,3)</f>
        <v>2</v>
      </c>
      <c r="C12" s="91">
        <f>B12/1440</f>
        <v>0.001388888888888889</v>
      </c>
      <c r="D12" s="67">
        <f ca="1">VLOOKUP(RAND(),service,3)</f>
        <v>20</v>
      </c>
      <c r="E12" s="91">
        <f>D12/1440</f>
        <v>0.013888888888888888</v>
      </c>
      <c r="F12" s="91">
        <f>IF(ISTEXT(F11),"",IF(F11+C12&gt;=close_time,"closed",F11+C12))</f>
        <v>0.3763888888888889</v>
      </c>
      <c r="G12" s="95">
        <f>COUNTIF(Y$11:$Y11,"&gt;"&amp;F12)+COUNTIF(X$11:X11,"&gt;"&amp;F12)</f>
        <v>0</v>
      </c>
      <c r="H12" s="93">
        <f>IF(G12&gt;=balk_num,"balk","")</f>
      </c>
      <c r="I12" s="91">
        <f>IF(OR(H12="balk",ISTEXT(F12)),"",MAX(Simulation!J$11:J11,start_time,$F12))</f>
        <v>0.3763888888888889</v>
      </c>
      <c r="J12" s="91">
        <f>IF(ISTEXT($I12),"",MAX(Simulation!L$11:L11,start_time,$F12))</f>
        <v>0.3763888888888889</v>
      </c>
      <c r="K12" s="91">
        <f>IF(ISTEXT($I12),"",MAX(Simulation!N$11:N11,start_time,$F12))</f>
        <v>0.3763888888888889</v>
      </c>
      <c r="L12" s="91">
        <f>IF(ISTEXT($I12),"",MAX(Simulation!P$11:P11,start_time,$F12))</f>
        <v>0.3763888888888889</v>
      </c>
      <c r="M12" s="91">
        <f>IF(ISTEXT($I12),"",MAX(Simulation!R$11:R11,start_time,$F12))</f>
        <v>0.3763888888888889</v>
      </c>
      <c r="N12" s="91">
        <f>IF(ISTEXT($I12),"",MAX(Simulation!T$11:T11,start_time,$F12))</f>
        <v>0.3763888888888889</v>
      </c>
      <c r="O12" s="91">
        <f>IF(ISTEXT($I12),"",MAX(Simulation!V$11:V11,start_time,$F12))</f>
        <v>0.3763888888888889</v>
      </c>
      <c r="P12" s="91">
        <f>IF(ISTEXT($I12),"",MAX(Simulation!X$11:X11,start_time,$F12))</f>
        <v>0.3763888888888889</v>
      </c>
      <c r="Q12" s="91">
        <f>IF(ISTEXT($I12),"",MAX(Simulation!Z$11:Z11,start_time,$F12))</f>
        <v>0.3763888888888889</v>
      </c>
      <c r="R12" s="91">
        <f>IF(ISTEXT($I12),"",MAX(Simulation!AB$11:AB11,start_time,$F12))</f>
        <v>0.3763888888888889</v>
      </c>
      <c r="S12" s="91">
        <f>IF(ISTEXT($I12),"",MAX(Simulation!AD$11:AD11,start_time,$F12))</f>
        <v>0.3763888888888889</v>
      </c>
      <c r="T12" s="91">
        <f>IF(ISTEXT($I12),"",MAX(Simulation!AF$11:AF11,start_time,$F12))</f>
        <v>0.3763888888888889</v>
      </c>
      <c r="U12" s="91">
        <f>IF(ISTEXT(I12),"",MIN(I12:T12))</f>
        <v>0.3763888888888889</v>
      </c>
      <c r="V12" s="91">
        <f>IF(ISTEXT(I12),"",U12-F12)</f>
        <v>0</v>
      </c>
      <c r="W12" s="94">
        <f>IF(ISTEXT(I12),"",IF(V12&gt;renege_time,"renege",""))</f>
      </c>
      <c r="X12" s="91">
        <f aca="true" t="shared" si="0" ref="X12:X26">IF(W12="renege",F12+renege_time,"")</f>
      </c>
      <c r="Y12" s="91">
        <f>IF(OR(W12="renege",ISTEXT(I12)),"",U12)</f>
        <v>0.3763888888888889</v>
      </c>
      <c r="Z12" s="93">
        <f>IF(ISTEXT(Y12),"",MATCH(Y12,I12:T12,0))</f>
        <v>1</v>
      </c>
      <c r="AA12" s="97">
        <f>IF(OR(H12="balk",W12="renege"),"",E12)</f>
        <v>0.013888888888888888</v>
      </c>
      <c r="AB12" s="77">
        <f>IF(Simulation!F12="renege",Simulation!AG12,Simulation!AH12)</f>
        <v>0</v>
      </c>
      <c r="AD12" s="77">
        <f>IF(ISNUMBER(SMALL(Simulation!$I$12:Simulation!$J$26,1)),SMALL(Simulation!$I$12:Simulation!$J$26,1),1)</f>
        <v>0.3763888888888889</v>
      </c>
      <c r="AE12" s="99">
        <f>IF(ISNUMBER(SMALL(Simulation!$K$12:Simulation!$L$26,1)),SMALL(Simulation!$K$12:Simulation!$L$26,1),1)</f>
        <v>0.37777777777777777</v>
      </c>
      <c r="AF12" s="99">
        <f>IF(ISNUMBER(SMALL(Simulation!$M$12:Simulation!$N$26,1)),SMALL(Simulation!$M$12:Simulation!$N$26,1),1)</f>
        <v>0.37916666666666665</v>
      </c>
      <c r="AG12" s="99">
        <f>IF(ISNUMBER(SMALL(Simulation!$O$12:Simulation!$P$26,1)),SMALL(Simulation!$O$12:Simulation!$P$26,1),1)</f>
        <v>0.38055555555555554</v>
      </c>
      <c r="AH12" s="99">
        <f>IF(ISNUMBER(SMALL(Simulation!$Q$12:Simulation!$R$26,1)),SMALL(Simulation!$Q$12:Simulation!$R$26,1),1)</f>
        <v>0.38263888888888886</v>
      </c>
      <c r="AI12" s="99">
        <f>IF(ISNUMBER(SMALL(Simulation!$S$12:Simulation!$T$26,1)),SMALL(Simulation!$S$12:Simulation!$T$26,1),1)</f>
        <v>0.38541666666666663</v>
      </c>
      <c r="AJ12" s="99">
        <f>IF(ISNUMBER(SMALL(Simulation!$U$12:Simulation!$V$26,1)),SMALL(Simulation!$U$12:Simulation!$V$26,1),1)</f>
        <v>0.3951388888888888</v>
      </c>
      <c r="AK12" s="99">
        <f>IF(ISNUMBER(SMALL(Simulation!$W$12:Simulation!$X$26,1)),SMALL(Simulation!$W$12:Simulation!$X$26,1),1)</f>
        <v>1</v>
      </c>
      <c r="AL12" s="99">
        <f>IF(ISNUMBER(SMALL(Simulation!$Y$12:Simulation!$Z$26,1)),SMALL(Simulation!$Y$12:Simulation!$Z$26,1),1)</f>
        <v>1</v>
      </c>
      <c r="AM12" s="99">
        <f>IF(ISNUMBER(SMALL(Simulation!$AA$12:Simulation!$AB$26,1)),SMALL(Simulation!$AA$12:Simulation!$AB$26,1),1)</f>
        <v>1</v>
      </c>
      <c r="AN12" s="99">
        <f>IF(ISNUMBER(SMALL(Simulation!$AC$12:Simulation!$AD$26,1)),SMALL(Simulation!$AC$12:Simulation!$AD$26,1),1)</f>
        <v>1</v>
      </c>
      <c r="AO12" s="99">
        <f>IF(ISNUMBER(SMALL(Simulation!$AE$12:Simulation!$AF$26,1)),SMALL(Simulation!$AE$12:Simulation!$AF$26,1),1)</f>
        <v>1</v>
      </c>
    </row>
    <row r="13" spans="1:41" ht="12.75">
      <c r="A13" s="88">
        <f>IF(ISTEXT(F13),"closed",A12+1)</f>
        <v>2</v>
      </c>
      <c r="B13" s="67">
        <f aca="true" ca="1" t="shared" si="1" ref="B13:B26">VLOOKUP(RAND(),arrival,3)</f>
        <v>2</v>
      </c>
      <c r="C13" s="91">
        <f aca="true" t="shared" si="2" ref="C13:C26">B13/1440</f>
        <v>0.001388888888888889</v>
      </c>
      <c r="D13" s="67">
        <f aca="true" ca="1" t="shared" si="3" ref="D13:D26">VLOOKUP(RAND(),service,3)</f>
        <v>15</v>
      </c>
      <c r="E13" s="91">
        <f aca="true" t="shared" si="4" ref="E13:E26">D13/1440</f>
        <v>0.010416666666666666</v>
      </c>
      <c r="F13" s="91">
        <f aca="true" t="shared" si="5" ref="F13:F26">IF(ISTEXT(F12),"",IF(F12+C13&gt;=close_time,"closed",F12+C13))</f>
        <v>0.37777777777777777</v>
      </c>
      <c r="G13" s="95">
        <f>COUNTIF(Y$11:$Y12,"&gt;"&amp;F13)+COUNTIF(X$11:X12,"&gt;"&amp;F13)</f>
        <v>0</v>
      </c>
      <c r="H13" s="93">
        <f aca="true" t="shared" si="6" ref="H13:H26">IF(G13&gt;=balk_num,"balk","")</f>
      </c>
      <c r="I13" s="91">
        <f>IF(OR(H13="balk",ISTEXT(F13)),"",MAX(Simulation!J$11:J12,start_time,$F13))</f>
        <v>0.3902777777777778</v>
      </c>
      <c r="J13" s="91">
        <f>IF(ISTEXT(I13),"",MAX(Simulation!L$11:L12,start_time,$F13))</f>
        <v>0.37777777777777777</v>
      </c>
      <c r="K13" s="91">
        <f>IF(ISTEXT($I13),"",MAX(Simulation!N$11:N12,start_time,$F13))</f>
        <v>0.37777777777777777</v>
      </c>
      <c r="L13" s="91">
        <f>IF(ISTEXT($I13),"",MAX(Simulation!P$11:P12,start_time,$F13))</f>
        <v>0.37777777777777777</v>
      </c>
      <c r="M13" s="91">
        <f>IF(ISTEXT($I13),"",MAX(Simulation!R$11:R12,start_time,$F13))</f>
        <v>0.37777777777777777</v>
      </c>
      <c r="N13" s="91">
        <f>IF(ISTEXT($I13),"",MAX(Simulation!T$11:T12,start_time,$F13))</f>
        <v>0.37777777777777777</v>
      </c>
      <c r="O13" s="91">
        <f>IF(ISTEXT($I13),"",MAX(Simulation!V$11:V12,start_time,$F13))</f>
        <v>0.37777777777777777</v>
      </c>
      <c r="P13" s="91">
        <f>IF(ISTEXT($I13),"",MAX(Simulation!X$11:X12,start_time,$F13))</f>
        <v>0.37777777777777777</v>
      </c>
      <c r="Q13" s="91">
        <f>IF(ISTEXT($I13),"",MAX(Simulation!Z$11:Z12,start_time,$F13))</f>
        <v>0.37777777777777777</v>
      </c>
      <c r="R13" s="91">
        <f>IF(ISTEXT($I13),"",MAX(Simulation!AB$11:AB12,start_time,$F13))</f>
        <v>0.37777777777777777</v>
      </c>
      <c r="S13" s="91">
        <f>IF(ISTEXT($I13),"",MAX(Simulation!AD$11:AD12,start_time,$F13))</f>
        <v>0.37777777777777777</v>
      </c>
      <c r="T13" s="91">
        <f>IF(ISTEXT($I13),"",MAX(Simulation!AF$11:AF12,start_time,$F13))</f>
        <v>0.37777777777777777</v>
      </c>
      <c r="U13" s="91">
        <f aca="true" t="shared" si="7" ref="U13:U26">IF(ISTEXT(I13),"",MIN(I13:T13))</f>
        <v>0.37777777777777777</v>
      </c>
      <c r="V13" s="91">
        <f aca="true" t="shared" si="8" ref="V13:V26">IF(ISTEXT(I13),"",U13-F13)</f>
        <v>0</v>
      </c>
      <c r="W13" s="94">
        <f aca="true" t="shared" si="9" ref="W13:W26">IF(ISTEXT(I13),"",IF(V13&gt;renege_time,"renege",""))</f>
      </c>
      <c r="X13" s="91">
        <f t="shared" si="0"/>
      </c>
      <c r="Y13" s="91">
        <f aca="true" t="shared" si="10" ref="Y13:Y26">IF(OR(W13="renege",ISTEXT(I13)),"",U13)</f>
        <v>0.37777777777777777</v>
      </c>
      <c r="Z13" s="93">
        <f aca="true" t="shared" si="11" ref="Z13:Z26">IF(ISTEXT(Y13),"",MATCH(Y13,I13:T13,0))</f>
        <v>2</v>
      </c>
      <c r="AA13" s="97">
        <f>IF(OR(H13="balk",W13="renege"),"",E13)</f>
        <v>0.010416666666666666</v>
      </c>
      <c r="AB13" s="77">
        <f>IF(Simulation!F13="renege",Simulation!AG13,Simulation!AH13)</f>
        <v>0</v>
      </c>
      <c r="AD13" s="77">
        <f>IF(ISNUMBER(SMALL(Simulation!$I$12:Simulation!$J$26,2)),SMALL(Simulation!$I$12:Simulation!$J$26,2),1)</f>
        <v>0.3902777777777778</v>
      </c>
      <c r="AE13" s="99">
        <f>IF(ISNUMBER(SMALL(Simulation!$K$12:Simulation!$L$26,2)),SMALL(Simulation!$K$12:Simulation!$L$26,2),1)</f>
        <v>0.38819444444444445</v>
      </c>
      <c r="AF13" s="99">
        <f>IF(ISNUMBER(SMALL(Simulation!$M$12:Simulation!$N$26,2)),SMALL(Simulation!$M$12:Simulation!$N$26,2),1)</f>
        <v>0.39305555555555555</v>
      </c>
      <c r="AG13" s="99">
        <f>IF(ISNUMBER(SMALL(Simulation!$O$12:Simulation!$P$26,2)),SMALL(Simulation!$O$12:Simulation!$P$26,2),1)</f>
        <v>0.38749999999999996</v>
      </c>
      <c r="AH13" s="99">
        <f>IF(ISNUMBER(SMALL(Simulation!$Q$12:Simulation!$R$26,2)),SMALL(Simulation!$Q$12:Simulation!$R$26,2),1)</f>
        <v>0.39652777777777776</v>
      </c>
      <c r="AI13" s="99">
        <f>IF(ISNUMBER(SMALL(Simulation!$S$12:Simulation!$T$26,2)),SMALL(Simulation!$S$12:Simulation!$T$26,2),1)</f>
        <v>0.3958333333333333</v>
      </c>
      <c r="AJ13" s="99">
        <f>IF(ISNUMBER(SMALL(Simulation!$U$12:Simulation!$V$26,2)),SMALL(Simulation!$U$12:Simulation!$V$26,2),1)</f>
        <v>0.4055555555555555</v>
      </c>
      <c r="AK13" s="99">
        <f>IF(ISNUMBER(SMALL(Simulation!$W$12:Simulation!$X$26,2)),SMALL(Simulation!$W$12:Simulation!$X$26,2),1)</f>
        <v>1</v>
      </c>
      <c r="AL13" s="99">
        <f>IF(ISNUMBER(SMALL(Simulation!$Y$12:Simulation!$Z$26,2)),SMALL(Simulation!$Y$12:Simulation!$Z$26,2),1)</f>
        <v>1</v>
      </c>
      <c r="AM13" s="99">
        <f>IF(ISNUMBER(SMALL(Simulation!$AA$12:Simulation!$AB$26,2)),SMALL(Simulation!$AA$12:Simulation!$AB$26,2),1)</f>
        <v>1</v>
      </c>
      <c r="AN13" s="99">
        <f>IF(ISNUMBER(SMALL(Simulation!$AC$12:Simulation!$AD$26,2)),SMALL(Simulation!$AC$12:Simulation!$AD$26,2),1)</f>
        <v>1</v>
      </c>
      <c r="AO13" s="99">
        <f>IF(ISNUMBER(SMALL(Simulation!$AE$12:Simulation!$AF$26,2)),SMALL(Simulation!$AE$12:Simulation!$AF$26,2),1)</f>
        <v>1</v>
      </c>
    </row>
    <row r="14" spans="1:41" ht="12.75">
      <c r="A14" s="88">
        <f aca="true" t="shared" si="12" ref="A14:A26">IF(ISTEXT(F14),"closed",A13+1)</f>
        <v>3</v>
      </c>
      <c r="B14" s="67">
        <f ca="1" t="shared" si="1"/>
        <v>2</v>
      </c>
      <c r="C14" s="91">
        <f t="shared" si="2"/>
        <v>0.001388888888888889</v>
      </c>
      <c r="D14" s="67">
        <f ca="1" t="shared" si="3"/>
        <v>20</v>
      </c>
      <c r="E14" s="91">
        <f t="shared" si="4"/>
        <v>0.013888888888888888</v>
      </c>
      <c r="F14" s="91">
        <f t="shared" si="5"/>
        <v>0.37916666666666665</v>
      </c>
      <c r="G14" s="95">
        <f>COUNTIF(Y$11:$Y13,"&gt;"&amp;F14)+COUNTIF(X$11:X13,"&gt;"&amp;F14)</f>
        <v>0</v>
      </c>
      <c r="H14" s="93">
        <f t="shared" si="6"/>
      </c>
      <c r="I14" s="91">
        <f>IF(OR(H14="balk",ISTEXT(F14)),"",MAX(Simulation!J$11:J13,start_time,$F14))</f>
        <v>0.3902777777777778</v>
      </c>
      <c r="J14" s="91">
        <f>IF(ISTEXT(I14),"",MAX(Simulation!L$11:L13,start_time,$F14))</f>
        <v>0.38819444444444445</v>
      </c>
      <c r="K14" s="91">
        <f>IF(ISTEXT($I14),"",MAX(Simulation!N$11:N13,start_time,$F14))</f>
        <v>0.37916666666666665</v>
      </c>
      <c r="L14" s="91">
        <f>IF(ISTEXT($I14),"",MAX(Simulation!P$11:P13,start_time,$F14))</f>
        <v>0.37916666666666665</v>
      </c>
      <c r="M14" s="91">
        <f>IF(ISTEXT($I14),"",MAX(Simulation!R$11:R13,start_time,$F14))</f>
        <v>0.37916666666666665</v>
      </c>
      <c r="N14" s="91">
        <f>IF(ISTEXT($I14),"",MAX(Simulation!T$11:T13,start_time,$F14))</f>
        <v>0.37916666666666665</v>
      </c>
      <c r="O14" s="91">
        <f>IF(ISTEXT($I14),"",MAX(Simulation!V$11:V13,start_time,$F14))</f>
        <v>0.37916666666666665</v>
      </c>
      <c r="P14" s="91">
        <f>IF(ISTEXT($I14),"",MAX(Simulation!X$11:X13,start_time,$F14))</f>
        <v>0.37916666666666665</v>
      </c>
      <c r="Q14" s="91">
        <f>IF(ISTEXT($I14),"",MAX(Simulation!Z$11:Z13,start_time,$F14))</f>
        <v>0.37916666666666665</v>
      </c>
      <c r="R14" s="91">
        <f>IF(ISTEXT($I14),"",MAX(Simulation!AB$11:AB13,start_time,$F14))</f>
        <v>0.37916666666666665</v>
      </c>
      <c r="S14" s="91">
        <f>IF(ISTEXT($I14),"",MAX(Simulation!AD$11:AD13,start_time,$F14))</f>
        <v>0.37916666666666665</v>
      </c>
      <c r="T14" s="91">
        <f>IF(ISTEXT($I14),"",MAX(Simulation!AF$11:AF13,start_time,$F14))</f>
        <v>0.37916666666666665</v>
      </c>
      <c r="U14" s="91">
        <f t="shared" si="7"/>
        <v>0.37916666666666665</v>
      </c>
      <c r="V14" s="91">
        <f t="shared" si="8"/>
        <v>0</v>
      </c>
      <c r="W14" s="94">
        <f t="shared" si="9"/>
      </c>
      <c r="X14" s="91">
        <f t="shared" si="0"/>
      </c>
      <c r="Y14" s="91">
        <f t="shared" si="10"/>
        <v>0.37916666666666665</v>
      </c>
      <c r="Z14" s="93">
        <f t="shared" si="11"/>
        <v>3</v>
      </c>
      <c r="AA14" s="97">
        <f>IF(OR(H14="balk",W14="renege"),"",E14)</f>
        <v>0.013888888888888888</v>
      </c>
      <c r="AB14" s="77">
        <f>IF(Simulation!F14="renege",Simulation!AG14,Simulation!AH14)</f>
        <v>0</v>
      </c>
      <c r="AD14" s="77">
        <f>IF(ISNUMBER(SMALL(Simulation!$I$12:Simulation!$J$26,3)),SMALL(Simulation!$I$12:Simulation!$J$26,3),1)</f>
        <v>0.39236111111111105</v>
      </c>
      <c r="AE14" s="99">
        <f>IF(ISNUMBER(SMALL(Simulation!$K$12:Simulation!$L$26,3)),SMALL(Simulation!$K$12:Simulation!$L$26,3),1)</f>
        <v>0.3895833333333333</v>
      </c>
      <c r="AF14" s="99">
        <f>IF(ISNUMBER(SMALL(Simulation!$M$12:Simulation!$N$26,3)),SMALL(Simulation!$M$12:Simulation!$N$26,3),1)</f>
        <v>0.39374999999999993</v>
      </c>
      <c r="AG14" s="99">
        <f>IF(ISNUMBER(SMALL(Simulation!$O$12:Simulation!$P$26,3)),SMALL(Simulation!$O$12:Simulation!$P$26,3),1)</f>
        <v>0.3881944444444444</v>
      </c>
      <c r="AH14" s="99">
        <f>IF(ISNUMBER(SMALL(Simulation!$Q$12:Simulation!$R$26,3)),SMALL(Simulation!$Q$12:Simulation!$R$26,3),1)</f>
        <v>0.3979166666666666</v>
      </c>
      <c r="AI14" s="99">
        <f>IF(ISNUMBER(SMALL(Simulation!$S$12:Simulation!$T$26,3)),SMALL(Simulation!$S$12:Simulation!$T$26,3),1)</f>
        <v>0.3965277777777777</v>
      </c>
      <c r="AJ14" s="99">
        <f>IF(ISNUMBER(SMALL(Simulation!$U$12:Simulation!$V$26,3)),SMALL(Simulation!$U$12:Simulation!$V$26,3),1)</f>
        <v>1</v>
      </c>
      <c r="AK14" s="99">
        <f>IF(ISNUMBER(SMALL(Simulation!$W$12:Simulation!$X$26,3)),SMALL(Simulation!$W$12:Simulation!$X$26,3),1)</f>
        <v>1</v>
      </c>
      <c r="AL14" s="99">
        <f>IF(ISNUMBER(SMALL(Simulation!$Y$12:Simulation!$Z$26,3)),SMALL(Simulation!$Y$12:Simulation!$Z$26,3),1)</f>
        <v>1</v>
      </c>
      <c r="AM14" s="99">
        <f>IF(ISNUMBER(SMALL(Simulation!$AA$12:Simulation!$AB$26,3)),SMALL(Simulation!$AA$12:Simulation!$AB$26,3),1)</f>
        <v>1</v>
      </c>
      <c r="AN14" s="99">
        <f>IF(ISNUMBER(SMALL(Simulation!$AC$12:Simulation!$AD$26,3)),SMALL(Simulation!$AC$12:Simulation!$AD$26,3),1)</f>
        <v>1</v>
      </c>
      <c r="AO14" s="99">
        <f>IF(ISNUMBER(SMALL(Simulation!$AE$12:Simulation!$AF$26,3)),SMALL(Simulation!$AE$12:Simulation!$AF$26,3),1)</f>
        <v>1</v>
      </c>
    </row>
    <row r="15" spans="1:41" ht="12.75">
      <c r="A15" s="88">
        <f t="shared" si="12"/>
        <v>4</v>
      </c>
      <c r="B15" s="67">
        <f ca="1" t="shared" si="1"/>
        <v>2</v>
      </c>
      <c r="C15" s="91">
        <f t="shared" si="2"/>
        <v>0.001388888888888889</v>
      </c>
      <c r="D15" s="67">
        <f ca="1" t="shared" si="3"/>
        <v>10</v>
      </c>
      <c r="E15" s="91">
        <f t="shared" si="4"/>
        <v>0.006944444444444444</v>
      </c>
      <c r="F15" s="91">
        <f t="shared" si="5"/>
        <v>0.38055555555555554</v>
      </c>
      <c r="G15" s="95">
        <f>COUNTIF(Y$11:$Y14,"&gt;"&amp;F15)+COUNTIF(X$11:X14,"&gt;"&amp;F15)</f>
        <v>0</v>
      </c>
      <c r="H15" s="93">
        <f t="shared" si="6"/>
      </c>
      <c r="I15" s="91">
        <f>IF(OR(H15="balk",ISTEXT(F15)),"",MAX(Simulation!J$11:J14,start_time,$F15))</f>
        <v>0.3902777777777778</v>
      </c>
      <c r="J15" s="91">
        <f>IF(ISTEXT(I15),"",MAX(Simulation!L$11:L14,start_time,$F15))</f>
        <v>0.38819444444444445</v>
      </c>
      <c r="K15" s="91">
        <f>IF(ISTEXT($I15),"",MAX(Simulation!N$11:N14,start_time,$F15))</f>
        <v>0.39305555555555555</v>
      </c>
      <c r="L15" s="91">
        <f>IF(ISTEXT($I15),"",MAX(Simulation!P$11:P14,start_time,$F15))</f>
        <v>0.38055555555555554</v>
      </c>
      <c r="M15" s="91">
        <f>IF(ISTEXT($I15),"",MAX(Simulation!R$11:R14,start_time,$F15))</f>
        <v>0.38055555555555554</v>
      </c>
      <c r="N15" s="91">
        <f>IF(ISTEXT($I15),"",MAX(Simulation!T$11:T14,start_time,$F15))</f>
        <v>0.38055555555555554</v>
      </c>
      <c r="O15" s="91">
        <f>IF(ISTEXT($I15),"",MAX(Simulation!V$11:V14,start_time,$F15))</f>
        <v>0.38055555555555554</v>
      </c>
      <c r="P15" s="91">
        <f>IF(ISTEXT($I15),"",MAX(Simulation!X$11:X14,start_time,$F15))</f>
        <v>0.38055555555555554</v>
      </c>
      <c r="Q15" s="91">
        <f>IF(ISTEXT($I15),"",MAX(Simulation!Z$11:Z14,start_time,$F15))</f>
        <v>0.38055555555555554</v>
      </c>
      <c r="R15" s="91">
        <f>IF(ISTEXT($I15),"",MAX(Simulation!AB$11:AB14,start_time,$F15))</f>
        <v>0.38055555555555554</v>
      </c>
      <c r="S15" s="91">
        <f>IF(ISTEXT($I15),"",MAX(Simulation!AD$11:AD14,start_time,$F15))</f>
        <v>0.38055555555555554</v>
      </c>
      <c r="T15" s="91">
        <f>IF(ISTEXT($I15),"",MAX(Simulation!AF$11:AF14,start_time,$F15))</f>
        <v>0.38055555555555554</v>
      </c>
      <c r="U15" s="91">
        <f t="shared" si="7"/>
        <v>0.38055555555555554</v>
      </c>
      <c r="V15" s="91">
        <f t="shared" si="8"/>
        <v>0</v>
      </c>
      <c r="W15" s="94">
        <f t="shared" si="9"/>
      </c>
      <c r="X15" s="91">
        <f t="shared" si="0"/>
      </c>
      <c r="Y15" s="91">
        <f t="shared" si="10"/>
        <v>0.38055555555555554</v>
      </c>
      <c r="Z15" s="93">
        <f t="shared" si="11"/>
        <v>4</v>
      </c>
      <c r="AA15" s="97">
        <f>IF(OR(H15="balk",W15="renege"),"",E15)</f>
        <v>0.006944444444444444</v>
      </c>
      <c r="AB15" s="77">
        <f>IF(Simulation!F15="renege",Simulation!AG15,Simulation!AH15)</f>
        <v>0</v>
      </c>
      <c r="AD15" s="77">
        <f>IF(ISNUMBER(SMALL(Simulation!$I$12:Simulation!$J$26,4)),SMALL(Simulation!$I$12:Simulation!$J$26,4),1)</f>
        <v>0.40277777777777773</v>
      </c>
      <c r="AE15" s="99">
        <f>IF(ISNUMBER(SMALL(Simulation!$K$12:Simulation!$L$26,4)),SMALL(Simulation!$K$12:Simulation!$L$26,4),1)</f>
        <v>0.39999999999999997</v>
      </c>
      <c r="AF15" s="99">
        <f>IF(ISNUMBER(SMALL(Simulation!$M$12:Simulation!$N$26,4)),SMALL(Simulation!$M$12:Simulation!$N$26,4),1)</f>
        <v>0.4041666666666666</v>
      </c>
      <c r="AG15" s="99">
        <f>IF(ISNUMBER(SMALL(Simulation!$O$12:Simulation!$P$26,4)),SMALL(Simulation!$O$12:Simulation!$P$26,4),1)</f>
        <v>0.3986111111111111</v>
      </c>
      <c r="AH15" s="99">
        <f>IF(ISNUMBER(SMALL(Simulation!$Q$12:Simulation!$R$26,4)),SMALL(Simulation!$Q$12:Simulation!$R$26,4),1)</f>
        <v>0.40833333333333327</v>
      </c>
      <c r="AI15" s="99">
        <f>IF(ISNUMBER(SMALL(Simulation!$S$12:Simulation!$T$26,4)),SMALL(Simulation!$S$12:Simulation!$T$26,4),1)</f>
        <v>0.4034722222222221</v>
      </c>
      <c r="AJ15" s="99">
        <f>IF(ISNUMBER(SMALL(Simulation!$U$12:Simulation!$V$26,4)),SMALL(Simulation!$U$12:Simulation!$V$26,4),1)</f>
        <v>1</v>
      </c>
      <c r="AK15" s="99">
        <f>IF(ISNUMBER(SMALL(Simulation!$W$12:Simulation!$X$26,4)),SMALL(Simulation!$W$12:Simulation!$X$26,4),1)</f>
        <v>1</v>
      </c>
      <c r="AL15" s="99">
        <f>IF(ISNUMBER(SMALL(Simulation!$Y$12:Simulation!$Z$26,4)),SMALL(Simulation!$Y$12:Simulation!$Z$26,4),1)</f>
        <v>1</v>
      </c>
      <c r="AM15" s="99">
        <f>IF(ISNUMBER(SMALL(Simulation!$AA$12:Simulation!$AB$26,4)),SMALL(Simulation!$AA$12:Simulation!$AB$26,4),1)</f>
        <v>1</v>
      </c>
      <c r="AN15" s="99">
        <f>IF(ISNUMBER(SMALL(Simulation!$AC$12:Simulation!$AD$26,4)),SMALL(Simulation!$AC$12:Simulation!$AD$26,4),1)</f>
        <v>1</v>
      </c>
      <c r="AO15" s="99">
        <f>IF(ISNUMBER(SMALL(Simulation!$AE$12:Simulation!$AF$26,4)),SMALL(Simulation!$AE$12:Simulation!$AF$26,4),1)</f>
        <v>1</v>
      </c>
    </row>
    <row r="16" spans="1:41" ht="12.75">
      <c r="A16" s="88">
        <f t="shared" si="12"/>
        <v>5</v>
      </c>
      <c r="B16" s="67">
        <f ca="1" t="shared" si="1"/>
        <v>3</v>
      </c>
      <c r="C16" s="91">
        <f t="shared" si="2"/>
        <v>0.0020833333333333333</v>
      </c>
      <c r="D16" s="67">
        <f ca="1" t="shared" si="3"/>
        <v>20</v>
      </c>
      <c r="E16" s="91">
        <f t="shared" si="4"/>
        <v>0.013888888888888888</v>
      </c>
      <c r="F16" s="91">
        <f t="shared" si="5"/>
        <v>0.38263888888888886</v>
      </c>
      <c r="G16" s="95">
        <f>COUNTIF(Y$11:$Y15,"&gt;"&amp;F16)+COUNTIF(X$11:X15,"&gt;"&amp;F16)</f>
        <v>0</v>
      </c>
      <c r="H16" s="93">
        <f t="shared" si="6"/>
      </c>
      <c r="I16" s="91">
        <f>IF(OR(H16="balk",ISTEXT(F16)),"",MAX(Simulation!J$11:J15,start_time,$F16))</f>
        <v>0.3902777777777778</v>
      </c>
      <c r="J16" s="91">
        <f>IF(ISTEXT(I16),"",MAX(Simulation!L$11:L15,start_time,$F16))</f>
        <v>0.38819444444444445</v>
      </c>
      <c r="K16" s="91">
        <f>IF(ISTEXT($I16),"",MAX(Simulation!N$11:N15,start_time,$F16))</f>
        <v>0.39305555555555555</v>
      </c>
      <c r="L16" s="91">
        <f>IF(ISTEXT($I16),"",MAX(Simulation!P$11:P15,start_time,$F16))</f>
        <v>0.38749999999999996</v>
      </c>
      <c r="M16" s="91">
        <f>IF(ISTEXT($I16),"",MAX(Simulation!R$11:R15,start_time,$F16))</f>
        <v>0.38263888888888886</v>
      </c>
      <c r="N16" s="91">
        <f>IF(ISTEXT($I16),"",MAX(Simulation!T$11:T15,start_time,$F16))</f>
        <v>0.38263888888888886</v>
      </c>
      <c r="O16" s="91">
        <f>IF(ISTEXT($I16),"",MAX(Simulation!V$11:V15,start_time,$F16))</f>
        <v>0.38263888888888886</v>
      </c>
      <c r="P16" s="91">
        <f>IF(ISTEXT($I16),"",MAX(Simulation!X$11:X15,start_time,$F16))</f>
        <v>0.38263888888888886</v>
      </c>
      <c r="Q16" s="91">
        <f>IF(ISTEXT($I16),"",MAX(Simulation!Z$11:Z15,start_time,$F16))</f>
        <v>0.38263888888888886</v>
      </c>
      <c r="R16" s="91">
        <f>IF(ISTEXT($I16),"",MAX(Simulation!AB$11:AB15,start_time,$F16))</f>
        <v>0.38263888888888886</v>
      </c>
      <c r="S16" s="91">
        <f>IF(ISTEXT($I16),"",MAX(Simulation!AD$11:AD15,start_time,$F16))</f>
        <v>0.38263888888888886</v>
      </c>
      <c r="T16" s="91">
        <f>IF(ISTEXT($I16),"",MAX(Simulation!AF$11:AF15,start_time,$F16))</f>
        <v>0.38263888888888886</v>
      </c>
      <c r="U16" s="91">
        <f t="shared" si="7"/>
        <v>0.38263888888888886</v>
      </c>
      <c r="V16" s="91">
        <f t="shared" si="8"/>
        <v>0</v>
      </c>
      <c r="W16" s="94">
        <f t="shared" si="9"/>
      </c>
      <c r="X16" s="91">
        <f t="shared" si="0"/>
      </c>
      <c r="Y16" s="91">
        <f t="shared" si="10"/>
        <v>0.38263888888888886</v>
      </c>
      <c r="Z16" s="93">
        <f t="shared" si="11"/>
        <v>5</v>
      </c>
      <c r="AA16" s="97">
        <f>IF(OR(H16="balk",W16="renege"),"",E16)</f>
        <v>0.013888888888888888</v>
      </c>
      <c r="AB16" s="77">
        <f>IF(Simulation!F16="renege",Simulation!AG16,Simulation!AH16)</f>
        <v>0</v>
      </c>
      <c r="AD16" s="77">
        <f>IF(ISNUMBER(SMALL(Simulation!$I$12:Simulation!$J$26,5)),SMALL(Simulation!$I$12:Simulation!$J$26,5),1)</f>
        <v>1</v>
      </c>
      <c r="AE16" s="99">
        <f>IF(ISNUMBER(SMALL(Simulation!$K$12:Simulation!$L$26,5)),SMALL(Simulation!$K$12:Simulation!$L$26,5),1)</f>
        <v>0.40069444444444435</v>
      </c>
      <c r="AF16" s="99">
        <f>IF(ISNUMBER(SMALL(Simulation!$M$12:Simulation!$N$26,5)),SMALL(Simulation!$M$12:Simulation!$N$26,5),1)</f>
        <v>1</v>
      </c>
      <c r="AG16" s="99">
        <f>IF(ISNUMBER(SMALL(Simulation!$O$12:Simulation!$P$26,5)),SMALL(Simulation!$O$12:Simulation!$P$26,5),1)</f>
        <v>0.4013888888888888</v>
      </c>
      <c r="AH16" s="99">
        <f>IF(ISNUMBER(SMALL(Simulation!$Q$12:Simulation!$R$26,5)),SMALL(Simulation!$Q$12:Simulation!$R$26,5),1)</f>
        <v>1</v>
      </c>
      <c r="AI16" s="99">
        <f>IF(ISNUMBER(SMALL(Simulation!$S$12:Simulation!$T$26,5)),SMALL(Simulation!$S$12:Simulation!$T$26,5),1)</f>
        <v>1</v>
      </c>
      <c r="AJ16" s="99">
        <f>IF(ISNUMBER(SMALL(Simulation!$U$12:Simulation!$V$26,5)),SMALL(Simulation!$U$12:Simulation!$V$26,5),1)</f>
        <v>1</v>
      </c>
      <c r="AK16" s="99">
        <f>IF(ISNUMBER(SMALL(Simulation!$W$12:Simulation!$X$26,5)),SMALL(Simulation!$W$12:Simulation!$X$26,5),1)</f>
        <v>1</v>
      </c>
      <c r="AL16" s="99">
        <f>IF(ISNUMBER(SMALL(Simulation!$Y$12:Simulation!$Z$26,5)),SMALL(Simulation!$Y$12:Simulation!$Z$26,5),1)</f>
        <v>1</v>
      </c>
      <c r="AM16" s="99">
        <f>IF(ISNUMBER(SMALL(Simulation!$AA$12:Simulation!$AB$26,5)),SMALL(Simulation!$AA$12:Simulation!$AB$26,5),1)</f>
        <v>1</v>
      </c>
      <c r="AN16" s="99">
        <f>IF(ISNUMBER(SMALL(Simulation!$AC$12:Simulation!$AD$26,5)),SMALL(Simulation!$AC$12:Simulation!$AD$26,5),1)</f>
        <v>1</v>
      </c>
      <c r="AO16" s="99">
        <f>IF(ISNUMBER(SMALL(Simulation!$AE$12:Simulation!$AF$26,5)),SMALL(Simulation!$AE$12:Simulation!$AF$26,5),1)</f>
        <v>1</v>
      </c>
    </row>
    <row r="17" spans="1:41" ht="12.75">
      <c r="A17" s="88">
        <f t="shared" si="12"/>
        <v>6</v>
      </c>
      <c r="B17" s="67">
        <f ca="1" t="shared" si="1"/>
        <v>4</v>
      </c>
      <c r="C17" s="91">
        <f t="shared" si="2"/>
        <v>0.002777777777777778</v>
      </c>
      <c r="D17" s="67">
        <f ca="1" t="shared" si="3"/>
        <v>15</v>
      </c>
      <c r="E17" s="91">
        <f t="shared" si="4"/>
        <v>0.010416666666666666</v>
      </c>
      <c r="F17" s="91">
        <f t="shared" si="5"/>
        <v>0.38541666666666663</v>
      </c>
      <c r="G17" s="95">
        <f>COUNTIF(Y$11:$Y16,"&gt;"&amp;F17)+COUNTIF(X$11:X16,"&gt;"&amp;F17)</f>
        <v>0</v>
      </c>
      <c r="H17" s="93">
        <f t="shared" si="6"/>
      </c>
      <c r="I17" s="91">
        <f>IF(OR(H17="balk",ISTEXT(F17)),"",MAX(Simulation!J$11:J16,start_time,$F17))</f>
        <v>0.3902777777777778</v>
      </c>
      <c r="J17" s="91">
        <f>IF(ISTEXT(I17),"",MAX(Simulation!L$11:L16,start_time,$F17))</f>
        <v>0.38819444444444445</v>
      </c>
      <c r="K17" s="91">
        <f>IF(ISTEXT($I17),"",MAX(Simulation!N$11:N16,start_time,$F17))</f>
        <v>0.39305555555555555</v>
      </c>
      <c r="L17" s="91">
        <f>IF(ISTEXT($I17),"",MAX(Simulation!P$11:P16,start_time,$F17))</f>
        <v>0.38749999999999996</v>
      </c>
      <c r="M17" s="91">
        <f>IF(ISTEXT($I17),"",MAX(Simulation!R$11:R16,start_time,$F17))</f>
        <v>0.39652777777777776</v>
      </c>
      <c r="N17" s="91">
        <f>IF(ISTEXT($I17),"",MAX(Simulation!T$11:T16,start_time,$F17))</f>
        <v>0.38541666666666663</v>
      </c>
      <c r="O17" s="91">
        <f>IF(ISTEXT($I17),"",MAX(Simulation!V$11:V16,start_time,$F17))</f>
        <v>0.38541666666666663</v>
      </c>
      <c r="P17" s="91">
        <f>IF(ISTEXT($I17),"",MAX(Simulation!X$11:X16,start_time,$F17))</f>
        <v>0.38541666666666663</v>
      </c>
      <c r="Q17" s="91">
        <f>IF(ISTEXT($I17),"",MAX(Simulation!Z$11:Z16,start_time,$F17))</f>
        <v>0.38541666666666663</v>
      </c>
      <c r="R17" s="91">
        <f>IF(ISTEXT($I17),"",MAX(Simulation!AB$11:AB16,start_time,$F17))</f>
        <v>0.38541666666666663</v>
      </c>
      <c r="S17" s="91">
        <f>IF(ISTEXT($I17),"",MAX(Simulation!AD$11:AD16,start_time,$F17))</f>
        <v>0.38541666666666663</v>
      </c>
      <c r="T17" s="91">
        <f>IF(ISTEXT($I17),"",MAX(Simulation!AF$11:AF16,start_time,$F17))</f>
        <v>0.38541666666666663</v>
      </c>
      <c r="U17" s="91">
        <f t="shared" si="7"/>
        <v>0.38541666666666663</v>
      </c>
      <c r="V17" s="91">
        <f t="shared" si="8"/>
        <v>0</v>
      </c>
      <c r="W17" s="94">
        <f t="shared" si="9"/>
      </c>
      <c r="X17" s="91">
        <f t="shared" si="0"/>
      </c>
      <c r="Y17" s="91">
        <f t="shared" si="10"/>
        <v>0.38541666666666663</v>
      </c>
      <c r="Z17" s="93">
        <f t="shared" si="11"/>
        <v>6</v>
      </c>
      <c r="AA17" s="97">
        <f>IF(OR(H17="balk",W17="renege"),"",E17)</f>
        <v>0.010416666666666666</v>
      </c>
      <c r="AB17" s="77">
        <f>IF(Simulation!F17="renege",Simulation!AG17,Simulation!AH17)</f>
        <v>0</v>
      </c>
      <c r="AD17" s="77">
        <f>IF(ISNUMBER(SMALL(Simulation!$I$12:Simulation!$J$26,6)),SMALL(Simulation!$I$12:Simulation!$J$26,6),1)</f>
        <v>1</v>
      </c>
      <c r="AE17" s="99">
        <f>IF(ISNUMBER(SMALL(Simulation!$K$12:Simulation!$L$26,6)),SMALL(Simulation!$K$12:Simulation!$L$26,6),1)</f>
        <v>0.41458333333333325</v>
      </c>
      <c r="AF17" s="99">
        <f>IF(ISNUMBER(SMALL(Simulation!$M$12:Simulation!$N$26,6)),SMALL(Simulation!$M$12:Simulation!$N$26,6),1)</f>
        <v>1</v>
      </c>
      <c r="AG17" s="99">
        <f>IF(ISNUMBER(SMALL(Simulation!$O$12:Simulation!$P$26,6)),SMALL(Simulation!$O$12:Simulation!$P$26,6),1)</f>
        <v>0.4118055555555555</v>
      </c>
      <c r="AH17" s="99">
        <f>IF(ISNUMBER(SMALL(Simulation!$Q$12:Simulation!$R$26,6)),SMALL(Simulation!$Q$12:Simulation!$R$26,6),1)</f>
        <v>1</v>
      </c>
      <c r="AI17" s="99">
        <f>IF(ISNUMBER(SMALL(Simulation!$S$12:Simulation!$T$26,6)),SMALL(Simulation!$S$12:Simulation!$T$26,6),1)</f>
        <v>1</v>
      </c>
      <c r="AJ17" s="99">
        <f>IF(ISNUMBER(SMALL(Simulation!$U$12:Simulation!$V$26,6)),SMALL(Simulation!$U$12:Simulation!$V$26,6),1)</f>
        <v>1</v>
      </c>
      <c r="AK17" s="99">
        <f>IF(ISNUMBER(SMALL(Simulation!$W$12:Simulation!$X$26,6)),SMALL(Simulation!$W$12:Simulation!$X$26,6),1)</f>
        <v>1</v>
      </c>
      <c r="AL17" s="99">
        <f>IF(ISNUMBER(SMALL(Simulation!$Y$12:Simulation!$Z$26,6)),SMALL(Simulation!$Y$12:Simulation!$Z$26,6),1)</f>
        <v>1</v>
      </c>
      <c r="AM17" s="99">
        <f>IF(ISNUMBER(SMALL(Simulation!$AA$12:Simulation!$AB$26,6)),SMALL(Simulation!$AA$12:Simulation!$AB$26,6),1)</f>
        <v>1</v>
      </c>
      <c r="AN17" s="99">
        <f>IF(ISNUMBER(SMALL(Simulation!$AC$12:Simulation!$AD$26,6)),SMALL(Simulation!$AC$12:Simulation!$AD$26,6),1)</f>
        <v>1</v>
      </c>
      <c r="AO17" s="99">
        <f>IF(ISNUMBER(SMALL(Simulation!$AE$12:Simulation!$AF$26,6)),SMALL(Simulation!$AE$12:Simulation!$AF$26,6),1)</f>
        <v>1</v>
      </c>
    </row>
    <row r="18" spans="1:41" ht="12.75">
      <c r="A18" s="88">
        <f t="shared" si="12"/>
        <v>7</v>
      </c>
      <c r="B18" s="67">
        <f ca="1" t="shared" si="1"/>
        <v>4</v>
      </c>
      <c r="C18" s="91">
        <f t="shared" si="2"/>
        <v>0.002777777777777778</v>
      </c>
      <c r="D18" s="67">
        <f ca="1" t="shared" si="3"/>
        <v>15</v>
      </c>
      <c r="E18" s="91">
        <f t="shared" si="4"/>
        <v>0.010416666666666666</v>
      </c>
      <c r="F18" s="91">
        <f t="shared" si="5"/>
        <v>0.3881944444444444</v>
      </c>
      <c r="G18" s="95">
        <f>COUNTIF(Y$11:$Y17,"&gt;"&amp;F18)+COUNTIF(X$11:X17,"&gt;"&amp;F18)</f>
        <v>0</v>
      </c>
      <c r="H18" s="93">
        <f t="shared" si="6"/>
      </c>
      <c r="I18" s="91">
        <f>IF(OR(H18="balk",ISTEXT(F18)),"",MAX(Simulation!J$11:J17,start_time,$F18))</f>
        <v>0.3902777777777778</v>
      </c>
      <c r="J18" s="91">
        <f>IF(ISTEXT(I18),"",MAX(Simulation!L$11:L17,start_time,$F18))</f>
        <v>0.38819444444444445</v>
      </c>
      <c r="K18" s="91">
        <f>IF(ISTEXT($I18),"",MAX(Simulation!N$11:N17,start_time,$F18))</f>
        <v>0.39305555555555555</v>
      </c>
      <c r="L18" s="91">
        <f>IF(ISTEXT($I18),"",MAX(Simulation!P$11:P17,start_time,$F18))</f>
        <v>0.3881944444444444</v>
      </c>
      <c r="M18" s="91">
        <f>IF(ISTEXT($I18),"",MAX(Simulation!R$11:R17,start_time,$F18))</f>
        <v>0.39652777777777776</v>
      </c>
      <c r="N18" s="91">
        <f>IF(ISTEXT($I18),"",MAX(Simulation!T$11:T17,start_time,$F18))</f>
        <v>0.3958333333333333</v>
      </c>
      <c r="O18" s="91">
        <f>IF(ISTEXT($I18),"",MAX(Simulation!V$11:V17,start_time,$F18))</f>
        <v>0.3881944444444444</v>
      </c>
      <c r="P18" s="91">
        <f>IF(ISTEXT($I18),"",MAX(Simulation!X$11:X17,start_time,$F18))</f>
        <v>0.3881944444444444</v>
      </c>
      <c r="Q18" s="91">
        <f>IF(ISTEXT($I18),"",MAX(Simulation!Z$11:Z17,start_time,$F18))</f>
        <v>0.3881944444444444</v>
      </c>
      <c r="R18" s="91">
        <f>IF(ISTEXT($I18),"",MAX(Simulation!AB$11:AB17,start_time,$F18))</f>
        <v>0.3881944444444444</v>
      </c>
      <c r="S18" s="91">
        <f>IF(ISTEXT($I18),"",MAX(Simulation!AD$11:AD17,start_time,$F18))</f>
        <v>0.3881944444444444</v>
      </c>
      <c r="T18" s="91">
        <f>IF(ISTEXT($I18),"",MAX(Simulation!AF$11:AF17,start_time,$F18))</f>
        <v>0.3881944444444444</v>
      </c>
      <c r="U18" s="91">
        <f t="shared" si="7"/>
        <v>0.3881944444444444</v>
      </c>
      <c r="V18" s="91">
        <f t="shared" si="8"/>
        <v>0</v>
      </c>
      <c r="W18" s="94">
        <f t="shared" si="9"/>
      </c>
      <c r="X18" s="91">
        <f t="shared" si="0"/>
      </c>
      <c r="Y18" s="91">
        <f t="shared" si="10"/>
        <v>0.3881944444444444</v>
      </c>
      <c r="Z18" s="93">
        <f t="shared" si="11"/>
        <v>4</v>
      </c>
      <c r="AA18" s="97">
        <f>IF(OR(H18="balk",W18="renege"),"",E18)</f>
        <v>0.010416666666666666</v>
      </c>
      <c r="AB18" s="77">
        <f>IF(Simulation!F18="renege",Simulation!AG18,Simulation!AH18)</f>
        <v>0</v>
      </c>
      <c r="AD18" s="77">
        <f>IF(ISNUMBER(SMALL(Simulation!$I$12:Simulation!$J$26,7)),SMALL(Simulation!$I$12:Simulation!$J$26,7),1)</f>
        <v>1</v>
      </c>
      <c r="AE18" s="99">
        <f>IF(ISNUMBER(SMALL(Simulation!$K$12:Simulation!$L$26,7)),SMALL(Simulation!$K$12:Simulation!$L$26,7),1)</f>
        <v>1</v>
      </c>
      <c r="AF18" s="99">
        <f>IF(ISNUMBER(SMALL(Simulation!$M$12:Simulation!$N$26,7)),SMALL(Simulation!$M$12:Simulation!$N$26,7),1)</f>
        <v>1</v>
      </c>
      <c r="AG18" s="99">
        <f>IF(ISNUMBER(SMALL(Simulation!$O$12:Simulation!$P$26,7)),SMALL(Simulation!$O$12:Simulation!$P$26,7),1)</f>
        <v>1</v>
      </c>
      <c r="AH18" s="99">
        <f>IF(ISNUMBER(SMALL(Simulation!$Q$12:Simulation!$R$26,7)),SMALL(Simulation!$Q$12:Simulation!$R$26,7),1)</f>
        <v>1</v>
      </c>
      <c r="AI18" s="99">
        <f>IF(ISNUMBER(SMALL(Simulation!$S$12:Simulation!$T$26,7)),SMALL(Simulation!$S$12:Simulation!$T$26,7),1)</f>
        <v>1</v>
      </c>
      <c r="AJ18" s="99">
        <f>IF(ISNUMBER(SMALL(Simulation!$U$12:Simulation!$V$26,7)),SMALL(Simulation!$U$12:Simulation!$V$26,7),1)</f>
        <v>1</v>
      </c>
      <c r="AK18" s="99">
        <f>IF(ISNUMBER(SMALL(Simulation!$W$12:Simulation!$X$26,7)),SMALL(Simulation!$W$12:Simulation!$X$26,7),1)</f>
        <v>1</v>
      </c>
      <c r="AL18" s="99">
        <f>IF(ISNUMBER(SMALL(Simulation!$Y$12:Simulation!$Z$26,7)),SMALL(Simulation!$Y$12:Simulation!$Z$26,7),1)</f>
        <v>1</v>
      </c>
      <c r="AM18" s="99">
        <f>IF(ISNUMBER(SMALL(Simulation!$AA$12:Simulation!$AB$26,7)),SMALL(Simulation!$AA$12:Simulation!$AB$26,7),1)</f>
        <v>1</v>
      </c>
      <c r="AN18" s="99">
        <f>IF(ISNUMBER(SMALL(Simulation!$AC$12:Simulation!$AD$26,7)),SMALL(Simulation!$AC$12:Simulation!$AD$26,7),1)</f>
        <v>1</v>
      </c>
      <c r="AO18" s="99">
        <f>IF(ISNUMBER(SMALL(Simulation!$AE$12:Simulation!$AF$26,7)),SMALL(Simulation!$AE$12:Simulation!$AF$26,7),1)</f>
        <v>1</v>
      </c>
    </row>
    <row r="19" spans="1:41" ht="12.75">
      <c r="A19" s="88">
        <f t="shared" si="12"/>
        <v>8</v>
      </c>
      <c r="B19" s="67">
        <f ca="1" t="shared" si="1"/>
        <v>2</v>
      </c>
      <c r="C19" s="91">
        <f t="shared" si="2"/>
        <v>0.001388888888888889</v>
      </c>
      <c r="D19" s="67">
        <f ca="1" t="shared" si="3"/>
        <v>15</v>
      </c>
      <c r="E19" s="91">
        <f t="shared" si="4"/>
        <v>0.010416666666666666</v>
      </c>
      <c r="F19" s="91">
        <f t="shared" si="5"/>
        <v>0.3895833333333333</v>
      </c>
      <c r="G19" s="95">
        <f>COUNTIF(Y$11:$Y18,"&gt;"&amp;F19)+COUNTIF(X$11:X18,"&gt;"&amp;F19)</f>
        <v>0</v>
      </c>
      <c r="H19" s="93">
        <f t="shared" si="6"/>
      </c>
      <c r="I19" s="91">
        <f>IF(OR(H19="balk",ISTEXT(F19)),"",MAX(Simulation!J$11:J18,start_time,$F19))</f>
        <v>0.3902777777777778</v>
      </c>
      <c r="J19" s="91">
        <f>IF(ISTEXT(I19),"",MAX(Simulation!L$11:L18,start_time,$F19))</f>
        <v>0.3895833333333333</v>
      </c>
      <c r="K19" s="91">
        <f>IF(ISTEXT($I19),"",MAX(Simulation!N$11:N18,start_time,$F19))</f>
        <v>0.39305555555555555</v>
      </c>
      <c r="L19" s="91">
        <f>IF(ISTEXT($I19),"",MAX(Simulation!P$11:P18,start_time,$F19))</f>
        <v>0.3986111111111111</v>
      </c>
      <c r="M19" s="91">
        <f>IF(ISTEXT($I19),"",MAX(Simulation!R$11:R18,start_time,$F19))</f>
        <v>0.39652777777777776</v>
      </c>
      <c r="N19" s="91">
        <f>IF(ISTEXT($I19),"",MAX(Simulation!T$11:T18,start_time,$F19))</f>
        <v>0.3958333333333333</v>
      </c>
      <c r="O19" s="91">
        <f>IF(ISTEXT($I19),"",MAX(Simulation!V$11:V18,start_time,$F19))</f>
        <v>0.3895833333333333</v>
      </c>
      <c r="P19" s="91">
        <f>IF(ISTEXT($I19),"",MAX(Simulation!X$11:X18,start_time,$F19))</f>
        <v>0.3895833333333333</v>
      </c>
      <c r="Q19" s="91">
        <f>IF(ISTEXT($I19),"",MAX(Simulation!Z$11:Z18,start_time,$F19))</f>
        <v>0.3895833333333333</v>
      </c>
      <c r="R19" s="91">
        <f>IF(ISTEXT($I19),"",MAX(Simulation!AB$11:AB18,start_time,$F19))</f>
        <v>0.3895833333333333</v>
      </c>
      <c r="S19" s="91">
        <f>IF(ISTEXT($I19),"",MAX(Simulation!AD$11:AD18,start_time,$F19))</f>
        <v>0.3895833333333333</v>
      </c>
      <c r="T19" s="91">
        <f>IF(ISTEXT($I19),"",MAX(Simulation!AF$11:AF18,start_time,$F19))</f>
        <v>0.3895833333333333</v>
      </c>
      <c r="U19" s="91">
        <f t="shared" si="7"/>
        <v>0.3895833333333333</v>
      </c>
      <c r="V19" s="91">
        <f t="shared" si="8"/>
        <v>0</v>
      </c>
      <c r="W19" s="94">
        <f t="shared" si="9"/>
      </c>
      <c r="X19" s="91">
        <f t="shared" si="0"/>
      </c>
      <c r="Y19" s="91">
        <f t="shared" si="10"/>
        <v>0.3895833333333333</v>
      </c>
      <c r="Z19" s="93">
        <f t="shared" si="11"/>
        <v>2</v>
      </c>
      <c r="AA19" s="97">
        <f>IF(OR(H19="balk",W19="renege"),"",E19)</f>
        <v>0.010416666666666666</v>
      </c>
      <c r="AB19" s="77">
        <f>IF(Simulation!F19="renege",Simulation!AG19,Simulation!AH19)</f>
        <v>0</v>
      </c>
      <c r="AD19" s="77">
        <f>IF(ISNUMBER(SMALL(Simulation!$I$12:Simulation!$J$26,8)),SMALL(Simulation!$I$12:Simulation!$J$26,8),1)</f>
        <v>1</v>
      </c>
      <c r="AE19" s="99">
        <f>IF(ISNUMBER(SMALL(Simulation!$K$12:Simulation!$L$26,8)),SMALL(Simulation!$K$12:Simulation!$L$26,8),1)</f>
        <v>1</v>
      </c>
      <c r="AF19" s="99">
        <f>IF(ISNUMBER(SMALL(Simulation!$M$12:Simulation!$N$26,8)),SMALL(Simulation!$M$12:Simulation!$N$26,8),1)</f>
        <v>1</v>
      </c>
      <c r="AG19" s="99">
        <f>IF(ISNUMBER(SMALL(Simulation!$O$12:Simulation!$P$26,8)),SMALL(Simulation!$O$12:Simulation!$P$26,8),1)</f>
        <v>1</v>
      </c>
      <c r="AH19" s="99">
        <f>IF(ISNUMBER(SMALL(Simulation!$Q$12:Simulation!$R$26,8)),SMALL(Simulation!$Q$12:Simulation!$R$26,8),1)</f>
        <v>1</v>
      </c>
      <c r="AI19" s="99">
        <f>IF(ISNUMBER(SMALL(Simulation!$S$12:Simulation!$T$26,8)),SMALL(Simulation!$S$12:Simulation!$T$26,8),1)</f>
        <v>1</v>
      </c>
      <c r="AJ19" s="99">
        <f>IF(ISNUMBER(SMALL(Simulation!$U$12:Simulation!$V$26,8)),SMALL(Simulation!$U$12:Simulation!$V$26,8),1)</f>
        <v>1</v>
      </c>
      <c r="AK19" s="99">
        <f>IF(ISNUMBER(SMALL(Simulation!$W$12:Simulation!$X$26,8)),SMALL(Simulation!$W$12:Simulation!$X$26,8),1)</f>
        <v>1</v>
      </c>
      <c r="AL19" s="99">
        <f>IF(ISNUMBER(SMALL(Simulation!$Y$12:Simulation!$Z$26,8)),SMALL(Simulation!$Y$12:Simulation!$Z$26,8),1)</f>
        <v>1</v>
      </c>
      <c r="AM19" s="99">
        <f>IF(ISNUMBER(SMALL(Simulation!$AA$12:Simulation!$AB$26,8)),SMALL(Simulation!$AA$12:Simulation!$AB$26,8),1)</f>
        <v>1</v>
      </c>
      <c r="AN19" s="99">
        <f>IF(ISNUMBER(SMALL(Simulation!$AC$12:Simulation!$AD$26,8)),SMALL(Simulation!$AC$12:Simulation!$AD$26,8),1)</f>
        <v>1</v>
      </c>
      <c r="AO19" s="99">
        <f>IF(ISNUMBER(SMALL(Simulation!$AE$12:Simulation!$AF$26,8)),SMALL(Simulation!$AE$12:Simulation!$AF$26,8),1)</f>
        <v>1</v>
      </c>
    </row>
    <row r="20" spans="1:41" ht="12.75">
      <c r="A20" s="88">
        <f t="shared" si="12"/>
        <v>9</v>
      </c>
      <c r="B20" s="67">
        <f ca="1" t="shared" si="1"/>
        <v>4</v>
      </c>
      <c r="C20" s="91">
        <f t="shared" si="2"/>
        <v>0.002777777777777778</v>
      </c>
      <c r="D20" s="67">
        <f ca="1" t="shared" si="3"/>
        <v>15</v>
      </c>
      <c r="E20" s="91">
        <f t="shared" si="4"/>
        <v>0.010416666666666666</v>
      </c>
      <c r="F20" s="91">
        <f t="shared" si="5"/>
        <v>0.39236111111111105</v>
      </c>
      <c r="G20" s="95">
        <f>COUNTIF(Y$11:$Y19,"&gt;"&amp;F20)+COUNTIF(X$11:X19,"&gt;"&amp;F20)</f>
        <v>0</v>
      </c>
      <c r="H20" s="93">
        <f t="shared" si="6"/>
      </c>
      <c r="I20" s="91">
        <f>IF(OR(H20="balk",ISTEXT(F20)),"",MAX(Simulation!J$11:J19,start_time,$F20))</f>
        <v>0.39236111111111105</v>
      </c>
      <c r="J20" s="91">
        <f>IF(ISTEXT(I20),"",MAX(Simulation!L$11:L19,start_time,$F20))</f>
        <v>0.39999999999999997</v>
      </c>
      <c r="K20" s="91">
        <f>IF(ISTEXT($I20),"",MAX(Simulation!N$11:N19,start_time,$F20))</f>
        <v>0.39305555555555555</v>
      </c>
      <c r="L20" s="91">
        <f>IF(ISTEXT($I20),"",MAX(Simulation!P$11:P19,start_time,$F20))</f>
        <v>0.3986111111111111</v>
      </c>
      <c r="M20" s="91">
        <f>IF(ISTEXT($I20),"",MAX(Simulation!R$11:R19,start_time,$F20))</f>
        <v>0.39652777777777776</v>
      </c>
      <c r="N20" s="91">
        <f>IF(ISTEXT($I20),"",MAX(Simulation!T$11:T19,start_time,$F20))</f>
        <v>0.3958333333333333</v>
      </c>
      <c r="O20" s="91">
        <f>IF(ISTEXT($I20),"",MAX(Simulation!V$11:V19,start_time,$F20))</f>
        <v>0.39236111111111105</v>
      </c>
      <c r="P20" s="91">
        <f>IF(ISTEXT($I20),"",MAX(Simulation!X$11:X19,start_time,$F20))</f>
        <v>0.39236111111111105</v>
      </c>
      <c r="Q20" s="91">
        <f>IF(ISTEXT($I20),"",MAX(Simulation!Z$11:Z19,start_time,$F20))</f>
        <v>0.39236111111111105</v>
      </c>
      <c r="R20" s="91">
        <f>IF(ISTEXT($I20),"",MAX(Simulation!AB$11:AB19,start_time,$F20))</f>
        <v>0.39236111111111105</v>
      </c>
      <c r="S20" s="91">
        <f>IF(ISTEXT($I20),"",MAX(Simulation!AD$11:AD19,start_time,$F20))</f>
        <v>0.39236111111111105</v>
      </c>
      <c r="T20" s="91">
        <f>IF(ISTEXT($I20),"",MAX(Simulation!AF$11:AF19,start_time,$F20))</f>
        <v>0.39236111111111105</v>
      </c>
      <c r="U20" s="91">
        <f t="shared" si="7"/>
        <v>0.39236111111111105</v>
      </c>
      <c r="V20" s="91">
        <f t="shared" si="8"/>
        <v>0</v>
      </c>
      <c r="W20" s="94">
        <f t="shared" si="9"/>
      </c>
      <c r="X20" s="91">
        <f t="shared" si="0"/>
      </c>
      <c r="Y20" s="91">
        <f t="shared" si="10"/>
        <v>0.39236111111111105</v>
      </c>
      <c r="Z20" s="93">
        <f t="shared" si="11"/>
        <v>1</v>
      </c>
      <c r="AA20" s="97">
        <f>IF(OR(H20="balk",W20="renege"),"",E20)</f>
        <v>0.010416666666666666</v>
      </c>
      <c r="AB20" s="77">
        <f>IF(Simulation!F20="renege",Simulation!AG20,Simulation!AH20)</f>
        <v>0</v>
      </c>
      <c r="AD20" s="77">
        <f>IF(ISNUMBER(SMALL(Simulation!$I$12:Simulation!$J$26,9)),SMALL(Simulation!$I$12:Simulation!$J$26,9),1)</f>
        <v>1</v>
      </c>
      <c r="AE20" s="99">
        <f>IF(ISNUMBER(SMALL(Simulation!$K$12:Simulation!$L$26,9)),SMALL(Simulation!$K$12:Simulation!$L$26,9),1)</f>
        <v>1</v>
      </c>
      <c r="AF20" s="99">
        <f>IF(ISNUMBER(SMALL(Simulation!$M$12:Simulation!$N$26,9)),SMALL(Simulation!$M$12:Simulation!$N$26,9),1)</f>
        <v>1</v>
      </c>
      <c r="AG20" s="99">
        <f>IF(ISNUMBER(SMALL(Simulation!$O$12:Simulation!$P$26,9)),SMALL(Simulation!$O$12:Simulation!$P$26,9),1)</f>
        <v>1</v>
      </c>
      <c r="AH20" s="99">
        <f>IF(ISNUMBER(SMALL(Simulation!$Q$12:Simulation!$R$26,9)),SMALL(Simulation!$Q$12:Simulation!$R$26,9),1)</f>
        <v>1</v>
      </c>
      <c r="AI20" s="99">
        <f>IF(ISNUMBER(SMALL(Simulation!$S$12:Simulation!$T$26,9)),SMALL(Simulation!$S$12:Simulation!$T$26,9),1)</f>
        <v>1</v>
      </c>
      <c r="AJ20" s="99">
        <f>IF(ISNUMBER(SMALL(Simulation!$U$12:Simulation!$V$26,9)),SMALL(Simulation!$U$12:Simulation!$V$26,9),1)</f>
        <v>1</v>
      </c>
      <c r="AK20" s="99">
        <f>IF(ISNUMBER(SMALL(Simulation!$W$12:Simulation!$X$26,9)),SMALL(Simulation!$W$12:Simulation!$X$26,9),1)</f>
        <v>1</v>
      </c>
      <c r="AL20" s="99">
        <f>IF(ISNUMBER(SMALL(Simulation!$Y$12:Simulation!$Z$26,9)),SMALL(Simulation!$Y$12:Simulation!$Z$26,9),1)</f>
        <v>1</v>
      </c>
      <c r="AM20" s="99">
        <f>IF(ISNUMBER(SMALL(Simulation!$AA$12:Simulation!$AB$26,9)),SMALL(Simulation!$AA$12:Simulation!$AB$26,9),1)</f>
        <v>1</v>
      </c>
      <c r="AN20" s="99">
        <f>IF(ISNUMBER(SMALL(Simulation!$AC$12:Simulation!$AD$26,9)),SMALL(Simulation!$AC$12:Simulation!$AD$26,9),1)</f>
        <v>1</v>
      </c>
      <c r="AO20" s="99">
        <f>IF(ISNUMBER(SMALL(Simulation!$AE$12:Simulation!$AF$26,9)),SMALL(Simulation!$AE$12:Simulation!$AF$26,9),1)</f>
        <v>1</v>
      </c>
    </row>
    <row r="21" spans="1:41" ht="12.75">
      <c r="A21" s="88">
        <f t="shared" si="12"/>
        <v>10</v>
      </c>
      <c r="B21" s="67">
        <f ca="1" t="shared" si="1"/>
        <v>2</v>
      </c>
      <c r="C21" s="91">
        <f t="shared" si="2"/>
        <v>0.001388888888888889</v>
      </c>
      <c r="D21" s="67">
        <f ca="1" t="shared" si="3"/>
        <v>15</v>
      </c>
      <c r="E21" s="91">
        <f t="shared" si="4"/>
        <v>0.010416666666666666</v>
      </c>
      <c r="F21" s="91">
        <f t="shared" si="5"/>
        <v>0.39374999999999993</v>
      </c>
      <c r="G21" s="95">
        <f>COUNTIF(Y$11:$Y20,"&gt;"&amp;F21)+COUNTIF(X$11:X20,"&gt;"&amp;F21)</f>
        <v>0</v>
      </c>
      <c r="H21" s="93">
        <f t="shared" si="6"/>
      </c>
      <c r="I21" s="91">
        <f>IF(OR(H21="balk",ISTEXT(F21)),"",MAX(Simulation!J$11:J20,start_time,$F21))</f>
        <v>0.40277777777777773</v>
      </c>
      <c r="J21" s="91">
        <f>IF(ISTEXT(I21),"",MAX(Simulation!L$11:L20,start_time,$F21))</f>
        <v>0.39999999999999997</v>
      </c>
      <c r="K21" s="91">
        <f>IF(ISTEXT($I21),"",MAX(Simulation!N$11:N20,start_time,$F21))</f>
        <v>0.39374999999999993</v>
      </c>
      <c r="L21" s="91">
        <f>IF(ISTEXT($I21),"",MAX(Simulation!P$11:P20,start_time,$F21))</f>
        <v>0.3986111111111111</v>
      </c>
      <c r="M21" s="91">
        <f>IF(ISTEXT($I21),"",MAX(Simulation!R$11:R20,start_time,$F21))</f>
        <v>0.39652777777777776</v>
      </c>
      <c r="N21" s="91">
        <f>IF(ISTEXT($I21),"",MAX(Simulation!T$11:T20,start_time,$F21))</f>
        <v>0.3958333333333333</v>
      </c>
      <c r="O21" s="91">
        <f>IF(ISTEXT($I21),"",MAX(Simulation!V$11:V20,start_time,$F21))</f>
        <v>0.39374999999999993</v>
      </c>
      <c r="P21" s="91">
        <f>IF(ISTEXT($I21),"",MAX(Simulation!X$11:X20,start_time,$F21))</f>
        <v>0.39374999999999993</v>
      </c>
      <c r="Q21" s="91">
        <f>IF(ISTEXT($I21),"",MAX(Simulation!Z$11:Z20,start_time,$F21))</f>
        <v>0.39374999999999993</v>
      </c>
      <c r="R21" s="91">
        <f>IF(ISTEXT($I21),"",MAX(Simulation!AB$11:AB20,start_time,$F21))</f>
        <v>0.39374999999999993</v>
      </c>
      <c r="S21" s="91">
        <f>IF(ISTEXT($I21),"",MAX(Simulation!AD$11:AD20,start_time,$F21))</f>
        <v>0.39374999999999993</v>
      </c>
      <c r="T21" s="91">
        <f>IF(ISTEXT($I21),"",MAX(Simulation!AF$11:AF20,start_time,$F21))</f>
        <v>0.39374999999999993</v>
      </c>
      <c r="U21" s="91">
        <f t="shared" si="7"/>
        <v>0.39374999999999993</v>
      </c>
      <c r="V21" s="91">
        <f t="shared" si="8"/>
        <v>0</v>
      </c>
      <c r="W21" s="94">
        <f t="shared" si="9"/>
      </c>
      <c r="X21" s="91">
        <f t="shared" si="0"/>
      </c>
      <c r="Y21" s="91">
        <f t="shared" si="10"/>
        <v>0.39374999999999993</v>
      </c>
      <c r="Z21" s="93">
        <f t="shared" si="11"/>
        <v>3</v>
      </c>
      <c r="AA21" s="97">
        <f>IF(OR(H21="balk",W21="renege"),"",E21)</f>
        <v>0.010416666666666666</v>
      </c>
      <c r="AB21" s="77">
        <f>IF(Simulation!F21="renege",Simulation!AG21,Simulation!AH21)</f>
        <v>0</v>
      </c>
      <c r="AD21" s="77">
        <f>IF(ISNUMBER(SMALL(Simulation!$I$12:Simulation!$J$26,10)),SMALL(Simulation!$I$12:Simulation!$J$26,10),1)</f>
        <v>1</v>
      </c>
      <c r="AE21" s="99">
        <f>IF(ISNUMBER(SMALL(Simulation!$K$12:Simulation!$L$26,10)),SMALL(Simulation!$K$12:Simulation!$L$26,10),1)</f>
        <v>1</v>
      </c>
      <c r="AF21" s="99">
        <f>IF(ISNUMBER(SMALL(Simulation!$M$12:Simulation!$N$26,10)),SMALL(Simulation!$M$12:Simulation!$N$26,10),1)</f>
        <v>1</v>
      </c>
      <c r="AG21" s="99">
        <f>IF(ISNUMBER(SMALL(Simulation!$O$12:Simulation!$P$26,10)),SMALL(Simulation!$O$12:Simulation!$P$26,10),1)</f>
        <v>1</v>
      </c>
      <c r="AH21" s="99">
        <f>IF(ISNUMBER(SMALL(Simulation!$Q$12:Simulation!$R$26,10)),SMALL(Simulation!$Q$12:Simulation!$R$26,10),1)</f>
        <v>1</v>
      </c>
      <c r="AI21" s="99">
        <f>IF(ISNUMBER(SMALL(Simulation!$S$12:Simulation!$T$26,10)),SMALL(Simulation!$S$12:Simulation!$T$26,10),1)</f>
        <v>1</v>
      </c>
      <c r="AJ21" s="99">
        <f>IF(ISNUMBER(SMALL(Simulation!$U$12:Simulation!$V$26,10)),SMALL(Simulation!$U$12:Simulation!$V$26,10),1)</f>
        <v>1</v>
      </c>
      <c r="AK21" s="99">
        <f>IF(ISNUMBER(SMALL(Simulation!$W$12:Simulation!$X$26,10)),SMALL(Simulation!$W$12:Simulation!$X$26,10),1)</f>
        <v>1</v>
      </c>
      <c r="AL21" s="99">
        <f>IF(ISNUMBER(SMALL(Simulation!$Y$12:Simulation!$Z$26,10)),SMALL(Simulation!$Y$12:Simulation!$Z$26,10),1)</f>
        <v>1</v>
      </c>
      <c r="AM21" s="99">
        <f>IF(ISNUMBER(SMALL(Simulation!$AA$12:Simulation!$AB$26,10)),SMALL(Simulation!$AA$12:Simulation!$AB$26,10),1)</f>
        <v>1</v>
      </c>
      <c r="AN21" s="99">
        <f>IF(ISNUMBER(SMALL(Simulation!$AC$12:Simulation!$AD$26,10)),SMALL(Simulation!$AC$12:Simulation!$AD$26,10),1)</f>
        <v>1</v>
      </c>
      <c r="AO21" s="99">
        <f>IF(ISNUMBER(SMALL(Simulation!$AE$12:Simulation!$AF$26,10)),SMALL(Simulation!$AE$12:Simulation!$AF$26,10),1)</f>
        <v>1</v>
      </c>
    </row>
    <row r="22" spans="1:41" ht="12.75">
      <c r="A22" s="88">
        <f t="shared" si="12"/>
        <v>11</v>
      </c>
      <c r="B22" s="67">
        <f ca="1" t="shared" si="1"/>
        <v>2</v>
      </c>
      <c r="C22" s="91">
        <f t="shared" si="2"/>
        <v>0.001388888888888889</v>
      </c>
      <c r="D22" s="67">
        <f ca="1" t="shared" si="3"/>
        <v>15</v>
      </c>
      <c r="E22" s="91">
        <f t="shared" si="4"/>
        <v>0.010416666666666666</v>
      </c>
      <c r="F22" s="91">
        <f t="shared" si="5"/>
        <v>0.3951388888888888</v>
      </c>
      <c r="G22" s="95">
        <f>COUNTIF(Y$11:$Y21,"&gt;"&amp;F22)+COUNTIF(X$11:X21,"&gt;"&amp;F22)</f>
        <v>0</v>
      </c>
      <c r="H22" s="93">
        <f t="shared" si="6"/>
      </c>
      <c r="I22" s="91">
        <f>IF(OR(H22="balk",ISTEXT(F22)),"",MAX(Simulation!J$11:J21,start_time,$F22))</f>
        <v>0.40277777777777773</v>
      </c>
      <c r="J22" s="91">
        <f>IF(ISTEXT(I22),"",MAX(Simulation!L$11:L21,start_time,$F22))</f>
        <v>0.39999999999999997</v>
      </c>
      <c r="K22" s="91">
        <f>IF(ISTEXT($I22),"",MAX(Simulation!N$11:N21,start_time,$F22))</f>
        <v>0.4041666666666666</v>
      </c>
      <c r="L22" s="91">
        <f>IF(ISTEXT($I22),"",MAX(Simulation!P$11:P21,start_time,$F22))</f>
        <v>0.3986111111111111</v>
      </c>
      <c r="M22" s="91">
        <f>IF(ISTEXT($I22),"",MAX(Simulation!R$11:R21,start_time,$F22))</f>
        <v>0.39652777777777776</v>
      </c>
      <c r="N22" s="91">
        <f>IF(ISTEXT($I22),"",MAX(Simulation!T$11:T21,start_time,$F22))</f>
        <v>0.3958333333333333</v>
      </c>
      <c r="O22" s="91">
        <f>IF(ISTEXT($I22),"",MAX(Simulation!V$11:V21,start_time,$F22))</f>
        <v>0.3951388888888888</v>
      </c>
      <c r="P22" s="91">
        <f>IF(ISTEXT($I22),"",MAX(Simulation!X$11:X21,start_time,$F22))</f>
        <v>0.3951388888888888</v>
      </c>
      <c r="Q22" s="91">
        <f>IF(ISTEXT($I22),"",MAX(Simulation!Z$11:Z21,start_time,$F22))</f>
        <v>0.3951388888888888</v>
      </c>
      <c r="R22" s="91">
        <f>IF(ISTEXT($I22),"",MAX(Simulation!AB$11:AB21,start_time,$F22))</f>
        <v>0.3951388888888888</v>
      </c>
      <c r="S22" s="91">
        <f>IF(ISTEXT($I22),"",MAX(Simulation!AD$11:AD21,start_time,$F22))</f>
        <v>0.3951388888888888</v>
      </c>
      <c r="T22" s="91">
        <f>IF(ISTEXT($I22),"",MAX(Simulation!AF$11:AF21,start_time,$F22))</f>
        <v>0.3951388888888888</v>
      </c>
      <c r="U22" s="91">
        <f t="shared" si="7"/>
        <v>0.3951388888888888</v>
      </c>
      <c r="V22" s="91">
        <f t="shared" si="8"/>
        <v>0</v>
      </c>
      <c r="W22" s="94">
        <f t="shared" si="9"/>
      </c>
      <c r="X22" s="91">
        <f t="shared" si="0"/>
      </c>
      <c r="Y22" s="91">
        <f t="shared" si="10"/>
        <v>0.3951388888888888</v>
      </c>
      <c r="Z22" s="93">
        <f t="shared" si="11"/>
        <v>7</v>
      </c>
      <c r="AA22" s="97">
        <f>IF(OR(H22="balk",W22="renege"),"",E22)</f>
        <v>0.010416666666666666</v>
      </c>
      <c r="AB22" s="77">
        <f>IF(Simulation!F22="renege",Simulation!AG22,Simulation!AH22)</f>
        <v>0</v>
      </c>
      <c r="AD22" s="77">
        <f>IF(ISNUMBER(SMALL(Simulation!$I$12:Simulation!$J$26,11)),SMALL(Simulation!$I$12:Simulation!$J$26,11),1)</f>
        <v>1</v>
      </c>
      <c r="AE22" s="99">
        <f>IF(ISNUMBER(SMALL(Simulation!$K$12:Simulation!$L$26,11)),SMALL(Simulation!$K$12:Simulation!$L$26,11),1)</f>
        <v>1</v>
      </c>
      <c r="AF22" s="99">
        <f>IF(ISNUMBER(SMALL(Simulation!$M$12:Simulation!$N$26,11)),SMALL(Simulation!$M$12:Simulation!$N$26,11),1)</f>
        <v>1</v>
      </c>
      <c r="AG22" s="99">
        <f>IF(ISNUMBER(SMALL(Simulation!$O$12:Simulation!$P$26,11)),SMALL(Simulation!$O$12:Simulation!$P$26,11),1)</f>
        <v>1</v>
      </c>
      <c r="AH22" s="99">
        <f>IF(ISNUMBER(SMALL(Simulation!$Q$12:Simulation!$R$26,11)),SMALL(Simulation!$Q$12:Simulation!$R$26,11),1)</f>
        <v>1</v>
      </c>
      <c r="AI22" s="99">
        <f>IF(ISNUMBER(SMALL(Simulation!$S$12:Simulation!$T$26,11)),SMALL(Simulation!$S$12:Simulation!$T$26,11),1)</f>
        <v>1</v>
      </c>
      <c r="AJ22" s="99">
        <f>IF(ISNUMBER(SMALL(Simulation!$U$12:Simulation!$V$26,11)),SMALL(Simulation!$U$12:Simulation!$V$26,11),1)</f>
        <v>1</v>
      </c>
      <c r="AK22" s="99">
        <f>IF(ISNUMBER(SMALL(Simulation!$W$12:Simulation!$X$26,11)),SMALL(Simulation!$W$12:Simulation!$X$26,11),1)</f>
        <v>1</v>
      </c>
      <c r="AL22" s="99">
        <f>IF(ISNUMBER(SMALL(Simulation!$Y$12:Simulation!$Z$26,11)),SMALL(Simulation!$Y$12:Simulation!$Z$26,11),1)</f>
        <v>1</v>
      </c>
      <c r="AM22" s="99">
        <f>IF(ISNUMBER(SMALL(Simulation!$AA$12:Simulation!$AB$26,11)),SMALL(Simulation!$AA$12:Simulation!$AB$26,11),1)</f>
        <v>1</v>
      </c>
      <c r="AN22" s="99">
        <f>IF(ISNUMBER(SMALL(Simulation!$AC$12:Simulation!$AD$26,11)),SMALL(Simulation!$AC$12:Simulation!$AD$26,11),1)</f>
        <v>1</v>
      </c>
      <c r="AO22" s="99">
        <f>IF(ISNUMBER(SMALL(Simulation!$AE$12:Simulation!$AF$26,11)),SMALL(Simulation!$AE$12:Simulation!$AF$26,11),1)</f>
        <v>1</v>
      </c>
    </row>
    <row r="23" spans="1:41" ht="12.75">
      <c r="A23" s="88">
        <f t="shared" si="12"/>
        <v>12</v>
      </c>
      <c r="B23" s="67">
        <f ca="1" t="shared" si="1"/>
        <v>2</v>
      </c>
      <c r="C23" s="91">
        <f t="shared" si="2"/>
        <v>0.001388888888888889</v>
      </c>
      <c r="D23" s="67">
        <f ca="1" t="shared" si="3"/>
        <v>10</v>
      </c>
      <c r="E23" s="91">
        <f t="shared" si="4"/>
        <v>0.006944444444444444</v>
      </c>
      <c r="F23" s="91">
        <f t="shared" si="5"/>
        <v>0.3965277777777777</v>
      </c>
      <c r="G23" s="95">
        <f>COUNTIF(Y$11:$Y22,"&gt;"&amp;F23)+COUNTIF(X$11:X22,"&gt;"&amp;F23)</f>
        <v>0</v>
      </c>
      <c r="H23" s="93">
        <f t="shared" si="6"/>
      </c>
      <c r="I23" s="91">
        <f>IF(OR(H23="balk",ISTEXT(F23)),"",MAX(Simulation!J$11:J22,start_time,$F23))</f>
        <v>0.40277777777777773</v>
      </c>
      <c r="J23" s="91">
        <f>IF(ISTEXT(I23),"",MAX(Simulation!L$11:L22,start_time,$F23))</f>
        <v>0.39999999999999997</v>
      </c>
      <c r="K23" s="91">
        <f>IF(ISTEXT($I23),"",MAX(Simulation!N$11:N22,start_time,$F23))</f>
        <v>0.4041666666666666</v>
      </c>
      <c r="L23" s="91">
        <f>IF(ISTEXT($I23),"",MAX(Simulation!P$11:P22,start_time,$F23))</f>
        <v>0.3986111111111111</v>
      </c>
      <c r="M23" s="91">
        <f>IF(ISTEXT($I23),"",MAX(Simulation!R$11:R22,start_time,$F23))</f>
        <v>0.39652777777777776</v>
      </c>
      <c r="N23" s="91">
        <f>IF(ISTEXT($I23),"",MAX(Simulation!T$11:T22,start_time,$F23))</f>
        <v>0.3965277777777777</v>
      </c>
      <c r="O23" s="91">
        <f>IF(ISTEXT($I23),"",MAX(Simulation!V$11:V22,start_time,$F23))</f>
        <v>0.4055555555555555</v>
      </c>
      <c r="P23" s="91">
        <f>IF(ISTEXT($I23),"",MAX(Simulation!X$11:X22,start_time,$F23))</f>
        <v>0.3965277777777777</v>
      </c>
      <c r="Q23" s="91">
        <f>IF(ISTEXT($I23),"",MAX(Simulation!Z$11:Z22,start_time,$F23))</f>
        <v>0.3965277777777777</v>
      </c>
      <c r="R23" s="91">
        <f>IF(ISTEXT($I23),"",MAX(Simulation!AB$11:AB22,start_time,$F23))</f>
        <v>0.3965277777777777</v>
      </c>
      <c r="S23" s="91">
        <f>IF(ISTEXT($I23),"",MAX(Simulation!AD$11:AD22,start_time,$F23))</f>
        <v>0.3965277777777777</v>
      </c>
      <c r="T23" s="91">
        <f>IF(ISTEXT($I23),"",MAX(Simulation!AF$11:AF22,start_time,$F23))</f>
        <v>0.3965277777777777</v>
      </c>
      <c r="U23" s="91">
        <f t="shared" si="7"/>
        <v>0.3965277777777777</v>
      </c>
      <c r="V23" s="91">
        <f t="shared" si="8"/>
        <v>0</v>
      </c>
      <c r="W23" s="94">
        <f t="shared" si="9"/>
      </c>
      <c r="X23" s="91">
        <f t="shared" si="0"/>
      </c>
      <c r="Y23" s="91">
        <f t="shared" si="10"/>
        <v>0.3965277777777777</v>
      </c>
      <c r="Z23" s="93">
        <f t="shared" si="11"/>
        <v>6</v>
      </c>
      <c r="AA23" s="97">
        <f>IF(OR(H23="balk",W23="renege"),"",E23)</f>
        <v>0.006944444444444444</v>
      </c>
      <c r="AB23" s="77">
        <f>IF(Simulation!F23="renege",Simulation!AG23,Simulation!AH23)</f>
        <v>0</v>
      </c>
      <c r="AD23" s="77">
        <f>IF(ISNUMBER(SMALL(Simulation!$I$12:Simulation!$J$26,12)),SMALL(Simulation!$I$12:Simulation!$J$26,12),1)</f>
        <v>1</v>
      </c>
      <c r="AE23" s="99">
        <f>IF(ISNUMBER(SMALL(Simulation!$K$12:Simulation!$L$26,12)),SMALL(Simulation!$K$12:Simulation!$L$26,12),1)</f>
        <v>1</v>
      </c>
      <c r="AF23" s="99">
        <f>IF(ISNUMBER(SMALL(Simulation!$M$12:Simulation!$N$26,12)),SMALL(Simulation!$M$12:Simulation!$N$26,12),1)</f>
        <v>1</v>
      </c>
      <c r="AG23" s="99">
        <f>IF(ISNUMBER(SMALL(Simulation!$O$12:Simulation!$P$26,12)),SMALL(Simulation!$O$12:Simulation!$P$26,12),1)</f>
        <v>1</v>
      </c>
      <c r="AH23" s="99">
        <f>IF(ISNUMBER(SMALL(Simulation!$Q$12:Simulation!$R$26,12)),SMALL(Simulation!$Q$12:Simulation!$R$26,12),1)</f>
        <v>1</v>
      </c>
      <c r="AI23" s="99">
        <f>IF(ISNUMBER(SMALL(Simulation!$S$12:Simulation!$T$26,12)),SMALL(Simulation!$S$12:Simulation!$T$26,12),1)</f>
        <v>1</v>
      </c>
      <c r="AJ23" s="99">
        <f>IF(ISNUMBER(SMALL(Simulation!$U$12:Simulation!$V$26,12)),SMALL(Simulation!$U$12:Simulation!$V$26,12),1)</f>
        <v>1</v>
      </c>
      <c r="AK23" s="99">
        <f>IF(ISNUMBER(SMALL(Simulation!$W$12:Simulation!$X$26,12)),SMALL(Simulation!$W$12:Simulation!$X$26,12),1)</f>
        <v>1</v>
      </c>
      <c r="AL23" s="99">
        <f>IF(ISNUMBER(SMALL(Simulation!$Y$12:Simulation!$Z$26,12)),SMALL(Simulation!$Y$12:Simulation!$Z$26,12),1)</f>
        <v>1</v>
      </c>
      <c r="AM23" s="99">
        <f>IF(ISNUMBER(SMALL(Simulation!$AA$12:Simulation!$AB$26,12)),SMALL(Simulation!$AA$12:Simulation!$AB$26,12),1)</f>
        <v>1</v>
      </c>
      <c r="AN23" s="99">
        <f>IF(ISNUMBER(SMALL(Simulation!$AC$12:Simulation!$AD$26,12)),SMALL(Simulation!$AC$12:Simulation!$AD$26,12),1)</f>
        <v>1</v>
      </c>
      <c r="AO23" s="99">
        <f>IF(ISNUMBER(SMALL(Simulation!$AE$12:Simulation!$AF$26,12)),SMALL(Simulation!$AE$12:Simulation!$AF$26,12),1)</f>
        <v>1</v>
      </c>
    </row>
    <row r="24" spans="1:41" ht="12.75">
      <c r="A24" s="88">
        <f t="shared" si="12"/>
        <v>13</v>
      </c>
      <c r="B24" s="67">
        <f ca="1" t="shared" si="1"/>
        <v>2</v>
      </c>
      <c r="C24" s="91">
        <f t="shared" si="2"/>
        <v>0.001388888888888889</v>
      </c>
      <c r="D24" s="67">
        <f ca="1" t="shared" si="3"/>
        <v>15</v>
      </c>
      <c r="E24" s="91">
        <f t="shared" si="4"/>
        <v>0.010416666666666666</v>
      </c>
      <c r="F24" s="91">
        <f t="shared" si="5"/>
        <v>0.3979166666666666</v>
      </c>
      <c r="G24" s="95">
        <f>COUNTIF(Y$11:$Y23,"&gt;"&amp;F24)+COUNTIF(X$11:X23,"&gt;"&amp;F24)</f>
        <v>0</v>
      </c>
      <c r="H24" s="93">
        <f t="shared" si="6"/>
      </c>
      <c r="I24" s="91">
        <f>IF(OR(H24="balk",ISTEXT(F24)),"",MAX(Simulation!J$11:J23,start_time,$F24))</f>
        <v>0.40277777777777773</v>
      </c>
      <c r="J24" s="91">
        <f>IF(ISTEXT(I24),"",MAX(Simulation!L$11:L23,start_time,$F24))</f>
        <v>0.39999999999999997</v>
      </c>
      <c r="K24" s="91">
        <f>IF(ISTEXT($I24),"",MAX(Simulation!N$11:N23,start_time,$F24))</f>
        <v>0.4041666666666666</v>
      </c>
      <c r="L24" s="91">
        <f>IF(ISTEXT($I24),"",MAX(Simulation!P$11:P23,start_time,$F24))</f>
        <v>0.3986111111111111</v>
      </c>
      <c r="M24" s="91">
        <f>IF(ISTEXT($I24),"",MAX(Simulation!R$11:R23,start_time,$F24))</f>
        <v>0.3979166666666666</v>
      </c>
      <c r="N24" s="91">
        <f>IF(ISTEXT($I24),"",MAX(Simulation!T$11:T23,start_time,$F24))</f>
        <v>0.4034722222222221</v>
      </c>
      <c r="O24" s="91">
        <f>IF(ISTEXT($I24),"",MAX(Simulation!V$11:V23,start_time,$F24))</f>
        <v>0.4055555555555555</v>
      </c>
      <c r="P24" s="91">
        <f>IF(ISTEXT($I24),"",MAX(Simulation!X$11:X23,start_time,$F24))</f>
        <v>0.3979166666666666</v>
      </c>
      <c r="Q24" s="91">
        <f>IF(ISTEXT($I24),"",MAX(Simulation!Z$11:Z23,start_time,$F24))</f>
        <v>0.3979166666666666</v>
      </c>
      <c r="R24" s="91">
        <f>IF(ISTEXT($I24),"",MAX(Simulation!AB$11:AB23,start_time,$F24))</f>
        <v>0.3979166666666666</v>
      </c>
      <c r="S24" s="91">
        <f>IF(ISTEXT($I24),"",MAX(Simulation!AD$11:AD23,start_time,$F24))</f>
        <v>0.3979166666666666</v>
      </c>
      <c r="T24" s="91">
        <f>IF(ISTEXT($I24),"",MAX(Simulation!AF$11:AF23,start_time,$F24))</f>
        <v>0.3979166666666666</v>
      </c>
      <c r="U24" s="91">
        <f t="shared" si="7"/>
        <v>0.3979166666666666</v>
      </c>
      <c r="V24" s="91">
        <f t="shared" si="8"/>
        <v>0</v>
      </c>
      <c r="W24" s="94">
        <f t="shared" si="9"/>
      </c>
      <c r="X24" s="91">
        <f t="shared" si="0"/>
      </c>
      <c r="Y24" s="91">
        <f t="shared" si="10"/>
        <v>0.3979166666666666</v>
      </c>
      <c r="Z24" s="93">
        <f t="shared" si="11"/>
        <v>5</v>
      </c>
      <c r="AA24" s="97">
        <f>IF(OR(H24="balk",W24="renege"),"",E24)</f>
        <v>0.010416666666666666</v>
      </c>
      <c r="AB24" s="77">
        <f>IF(Simulation!F24="renege",Simulation!AG24,Simulation!AH24)</f>
        <v>0</v>
      </c>
      <c r="AD24" s="77">
        <f>IF(ISNUMBER(SMALL(Simulation!$I$12:Simulation!$J$26,13)),SMALL(Simulation!$I$12:Simulation!$J$26,13),1)</f>
        <v>1</v>
      </c>
      <c r="AE24" s="99">
        <f>IF(ISNUMBER(SMALL(Simulation!$K$12:Simulation!$L$26,13)),SMALL(Simulation!$K$12:Simulation!$L$26,13),1)</f>
        <v>1</v>
      </c>
      <c r="AF24" s="99">
        <f>IF(ISNUMBER(SMALL(Simulation!$M$12:Simulation!$N$26,13)),SMALL(Simulation!$M$12:Simulation!$N$26,13),1)</f>
        <v>1</v>
      </c>
      <c r="AG24" s="99">
        <f>IF(ISNUMBER(SMALL(Simulation!$O$12:Simulation!$P$26,13)),SMALL(Simulation!$O$12:Simulation!$P$26,13),1)</f>
        <v>1</v>
      </c>
      <c r="AH24" s="99">
        <f>IF(ISNUMBER(SMALL(Simulation!$Q$12:Simulation!$R$26,13)),SMALL(Simulation!$Q$12:Simulation!$R$26,13),1)</f>
        <v>1</v>
      </c>
      <c r="AI24" s="99">
        <f>IF(ISNUMBER(SMALL(Simulation!$S$12:Simulation!$T$26,13)),SMALL(Simulation!$S$12:Simulation!$T$26,13),1)</f>
        <v>1</v>
      </c>
      <c r="AJ24" s="99">
        <f>IF(ISNUMBER(SMALL(Simulation!$U$12:Simulation!$V$26,13)),SMALL(Simulation!$U$12:Simulation!$V$26,13),1)</f>
        <v>1</v>
      </c>
      <c r="AK24" s="99">
        <f>IF(ISNUMBER(SMALL(Simulation!$W$12:Simulation!$X$26,13)),SMALL(Simulation!$W$12:Simulation!$X$26,13),1)</f>
        <v>1</v>
      </c>
      <c r="AL24" s="99">
        <f>IF(ISNUMBER(SMALL(Simulation!$Y$12:Simulation!$Z$26,13)),SMALL(Simulation!$Y$12:Simulation!$Z$26,13),1)</f>
        <v>1</v>
      </c>
      <c r="AM24" s="99">
        <f>IF(ISNUMBER(SMALL(Simulation!$AA$12:Simulation!$AB$26,13)),SMALL(Simulation!$AA$12:Simulation!$AB$26,13),1)</f>
        <v>1</v>
      </c>
      <c r="AN24" s="99">
        <f>IF(ISNUMBER(SMALL(Simulation!$AC$12:Simulation!$AD$26,13)),SMALL(Simulation!$AC$12:Simulation!$AD$26,13),1)</f>
        <v>1</v>
      </c>
      <c r="AO24" s="99">
        <f>IF(ISNUMBER(SMALL(Simulation!$AE$12:Simulation!$AF$26,13)),SMALL(Simulation!$AE$12:Simulation!$AF$26,13),1)</f>
        <v>1</v>
      </c>
    </row>
    <row r="25" spans="1:41" ht="12.75">
      <c r="A25" s="88">
        <f t="shared" si="12"/>
        <v>14</v>
      </c>
      <c r="B25" s="67">
        <f ca="1" t="shared" si="1"/>
        <v>4</v>
      </c>
      <c r="C25" s="91">
        <f t="shared" si="2"/>
        <v>0.002777777777777778</v>
      </c>
      <c r="D25" s="67">
        <f ca="1" t="shared" si="3"/>
        <v>20</v>
      </c>
      <c r="E25" s="91">
        <f t="shared" si="4"/>
        <v>0.013888888888888888</v>
      </c>
      <c r="F25" s="91">
        <f t="shared" si="5"/>
        <v>0.40069444444444435</v>
      </c>
      <c r="G25" s="95">
        <f>COUNTIF(Y$11:$Y24,"&gt;"&amp;F25)+COUNTIF(X$11:X24,"&gt;"&amp;F25)</f>
        <v>0</v>
      </c>
      <c r="H25" s="93">
        <f t="shared" si="6"/>
      </c>
      <c r="I25" s="91">
        <f>IF(OR(H25="balk",ISTEXT(F25)),"",MAX(Simulation!J$11:J24,start_time,$F25))</f>
        <v>0.40277777777777773</v>
      </c>
      <c r="J25" s="91">
        <f>IF(ISTEXT(I25),"",MAX(Simulation!L$11:L24,start_time,$F25))</f>
        <v>0.40069444444444435</v>
      </c>
      <c r="K25" s="91">
        <f>IF(ISTEXT($I25),"",MAX(Simulation!N$11:N24,start_time,$F25))</f>
        <v>0.4041666666666666</v>
      </c>
      <c r="L25" s="91">
        <f>IF(ISTEXT($I25),"",MAX(Simulation!P$11:P24,start_time,$F25))</f>
        <v>0.40069444444444435</v>
      </c>
      <c r="M25" s="91">
        <f>IF(ISTEXT($I25),"",MAX(Simulation!R$11:R24,start_time,$F25))</f>
        <v>0.40833333333333327</v>
      </c>
      <c r="N25" s="91">
        <f>IF(ISTEXT($I25),"",MAX(Simulation!T$11:T24,start_time,$F25))</f>
        <v>0.4034722222222221</v>
      </c>
      <c r="O25" s="91">
        <f>IF(ISTEXT($I25),"",MAX(Simulation!V$11:V24,start_time,$F25))</f>
        <v>0.4055555555555555</v>
      </c>
      <c r="P25" s="91">
        <f>IF(ISTEXT($I25),"",MAX(Simulation!X$11:X24,start_time,$F25))</f>
        <v>0.40069444444444435</v>
      </c>
      <c r="Q25" s="91">
        <f>IF(ISTEXT($I25),"",MAX(Simulation!Z$11:Z24,start_time,$F25))</f>
        <v>0.40069444444444435</v>
      </c>
      <c r="R25" s="91">
        <f>IF(ISTEXT($I25),"",MAX(Simulation!AB$11:AB24,start_time,$F25))</f>
        <v>0.40069444444444435</v>
      </c>
      <c r="S25" s="91">
        <f>IF(ISTEXT($I25),"",MAX(Simulation!AD$11:AD24,start_time,$F25))</f>
        <v>0.40069444444444435</v>
      </c>
      <c r="T25" s="91">
        <f>IF(ISTEXT($I25),"",MAX(Simulation!AF$11:AF24,start_time,$F25))</f>
        <v>0.40069444444444435</v>
      </c>
      <c r="U25" s="91">
        <f t="shared" si="7"/>
        <v>0.40069444444444435</v>
      </c>
      <c r="V25" s="91">
        <f t="shared" si="8"/>
        <v>0</v>
      </c>
      <c r="W25" s="94">
        <f t="shared" si="9"/>
      </c>
      <c r="X25" s="91">
        <f t="shared" si="0"/>
      </c>
      <c r="Y25" s="91">
        <f t="shared" si="10"/>
        <v>0.40069444444444435</v>
      </c>
      <c r="Z25" s="93">
        <f t="shared" si="11"/>
        <v>2</v>
      </c>
      <c r="AA25" s="97">
        <f>IF(OR(H25="balk",W25="renege"),"",E25)</f>
        <v>0.013888888888888888</v>
      </c>
      <c r="AB25" s="77">
        <f>IF(Simulation!F25="renege",Simulation!AG25,Simulation!AH25)</f>
        <v>0</v>
      </c>
      <c r="AD25" s="77">
        <f>IF(ISNUMBER(SMALL(Simulation!$I$12:Simulation!$J$26,14)),SMALL(Simulation!$I$12:Simulation!$J$26,14),1)</f>
        <v>1</v>
      </c>
      <c r="AE25" s="99">
        <f>IF(ISNUMBER(SMALL(Simulation!$K$12:Simulation!$L$26,14)),SMALL(Simulation!$K$12:Simulation!$L$26,14),1)</f>
        <v>1</v>
      </c>
      <c r="AF25" s="99">
        <f>IF(ISNUMBER(SMALL(Simulation!$M$12:Simulation!$N$26,14)),SMALL(Simulation!$M$12:Simulation!$N$26,14),1)</f>
        <v>1</v>
      </c>
      <c r="AG25" s="99">
        <f>IF(ISNUMBER(SMALL(Simulation!$O$12:Simulation!$P$26,14)),SMALL(Simulation!$O$12:Simulation!$P$26,14),1)</f>
        <v>1</v>
      </c>
      <c r="AH25" s="99">
        <f>IF(ISNUMBER(SMALL(Simulation!$Q$12:Simulation!$R$26,14)),SMALL(Simulation!$Q$12:Simulation!$R$26,14),1)</f>
        <v>1</v>
      </c>
      <c r="AI25" s="99">
        <f>IF(ISNUMBER(SMALL(Simulation!$S$12:Simulation!$T$26,14)),SMALL(Simulation!$S$12:Simulation!$T$26,14),1)</f>
        <v>1</v>
      </c>
      <c r="AJ25" s="99">
        <f>IF(ISNUMBER(SMALL(Simulation!$U$12:Simulation!$V$26,14)),SMALL(Simulation!$U$12:Simulation!$V$26,14),1)</f>
        <v>1</v>
      </c>
      <c r="AK25" s="99">
        <f>IF(ISNUMBER(SMALL(Simulation!$W$12:Simulation!$X$26,14)),SMALL(Simulation!$W$12:Simulation!$X$26,14),1)</f>
        <v>1</v>
      </c>
      <c r="AL25" s="99">
        <f>IF(ISNUMBER(SMALL(Simulation!$Y$12:Simulation!$Z$26,14)),SMALL(Simulation!$Y$12:Simulation!$Z$26,14),1)</f>
        <v>1</v>
      </c>
      <c r="AM25" s="99">
        <f>IF(ISNUMBER(SMALL(Simulation!$AA$12:Simulation!$AB$26,14)),SMALL(Simulation!$AA$12:Simulation!$AB$26,14),1)</f>
        <v>1</v>
      </c>
      <c r="AN25" s="99">
        <f>IF(ISNUMBER(SMALL(Simulation!$AC$12:Simulation!$AD$26,14)),SMALL(Simulation!$AC$12:Simulation!$AD$26,14),1)</f>
        <v>1</v>
      </c>
      <c r="AO25" s="99">
        <f>IF(ISNUMBER(SMALL(Simulation!$AE$12:Simulation!$AF$26,14)),SMALL(Simulation!$AE$12:Simulation!$AF$26,14),1)</f>
        <v>1</v>
      </c>
    </row>
    <row r="26" spans="1:41" ht="12.75">
      <c r="A26" s="88">
        <f t="shared" si="12"/>
        <v>15</v>
      </c>
      <c r="B26" s="67">
        <f ca="1" t="shared" si="1"/>
        <v>1</v>
      </c>
      <c r="C26" s="91">
        <f t="shared" si="2"/>
        <v>0.0006944444444444445</v>
      </c>
      <c r="D26" s="67">
        <f ca="1" t="shared" si="3"/>
        <v>15</v>
      </c>
      <c r="E26" s="91">
        <f t="shared" si="4"/>
        <v>0.010416666666666666</v>
      </c>
      <c r="F26" s="91">
        <f t="shared" si="5"/>
        <v>0.4013888888888888</v>
      </c>
      <c r="G26" s="95">
        <f>COUNTIF(Y$11:$Y25,"&gt;"&amp;F26)+COUNTIF(X$11:X25,"&gt;"&amp;F26)</f>
        <v>0</v>
      </c>
      <c r="H26" s="93">
        <f t="shared" si="6"/>
      </c>
      <c r="I26" s="91">
        <f>IF(OR(H26="balk",ISTEXT(F26)),"",MAX(Simulation!J$11:J25,start_time,$F26))</f>
        <v>0.40277777777777773</v>
      </c>
      <c r="J26" s="91">
        <f>IF(ISTEXT(I26),"",MAX(Simulation!L$11:L25,start_time,$F26))</f>
        <v>0.41458333333333325</v>
      </c>
      <c r="K26" s="91">
        <f>IF(ISTEXT($I26),"",MAX(Simulation!N$11:N25,start_time,$F26))</f>
        <v>0.4041666666666666</v>
      </c>
      <c r="L26" s="91">
        <f>IF(ISTEXT($I26),"",MAX(Simulation!P$11:P25,start_time,$F26))</f>
        <v>0.4013888888888888</v>
      </c>
      <c r="M26" s="91">
        <f>IF(ISTEXT($I26),"",MAX(Simulation!R$11:R25,start_time,$F26))</f>
        <v>0.40833333333333327</v>
      </c>
      <c r="N26" s="91">
        <f>IF(ISTEXT($I26),"",MAX(Simulation!T$11:T25,start_time,$F26))</f>
        <v>0.4034722222222221</v>
      </c>
      <c r="O26" s="91">
        <f>IF(ISTEXT($I26),"",MAX(Simulation!V$11:V25,start_time,$F26))</f>
        <v>0.4055555555555555</v>
      </c>
      <c r="P26" s="91">
        <f>IF(ISTEXT($I26),"",MAX(Simulation!X$11:X25,start_time,$F26))</f>
        <v>0.4013888888888888</v>
      </c>
      <c r="Q26" s="91">
        <f>IF(ISTEXT($I26),"",MAX(Simulation!Z$11:Z25,start_time,$F26))</f>
        <v>0.4013888888888888</v>
      </c>
      <c r="R26" s="91">
        <f>IF(ISTEXT($I26),"",MAX(Simulation!AB$11:AB25,start_time,$F26))</f>
        <v>0.4013888888888888</v>
      </c>
      <c r="S26" s="91">
        <f>IF(ISTEXT($I26),"",MAX(Simulation!AD$11:AD25,start_time,$F26))</f>
        <v>0.4013888888888888</v>
      </c>
      <c r="T26" s="91">
        <f>IF(ISTEXT($I26),"",MAX(Simulation!AF$11:AF25,start_time,$F26))</f>
        <v>0.4013888888888888</v>
      </c>
      <c r="U26" s="91">
        <f t="shared" si="7"/>
        <v>0.4013888888888888</v>
      </c>
      <c r="V26" s="91">
        <f t="shared" si="8"/>
        <v>0</v>
      </c>
      <c r="W26" s="94">
        <f t="shared" si="9"/>
      </c>
      <c r="X26" s="91">
        <f t="shared" si="0"/>
      </c>
      <c r="Y26" s="91">
        <f t="shared" si="10"/>
        <v>0.4013888888888888</v>
      </c>
      <c r="Z26" s="93">
        <f t="shared" si="11"/>
        <v>4</v>
      </c>
      <c r="AA26" s="97">
        <f>IF(OR(H26="balk",W26="renege"),"",E26)</f>
        <v>0.010416666666666666</v>
      </c>
      <c r="AB26" s="77">
        <f>IF(Simulation!F26="renege",Simulation!AG26,Simulation!AH26)</f>
        <v>0</v>
      </c>
      <c r="AD26" s="77">
        <f>IF(ISNUMBER(SMALL(Simulation!$I$12:Simulation!$J$26,15)),SMALL(Simulation!$I$12:Simulation!$J$26,15),1)</f>
        <v>1</v>
      </c>
      <c r="AE26" s="99">
        <f>IF(ISNUMBER(SMALL(Simulation!$K$12:Simulation!$L$26,15)),SMALL(Simulation!$K$12:Simulation!$L$26,15),1)</f>
        <v>1</v>
      </c>
      <c r="AF26" s="99">
        <f>IF(ISNUMBER(SMALL(Simulation!$M$12:Simulation!$N$26,15)),SMALL(Simulation!$M$12:Simulation!$N$26,15),1)</f>
        <v>1</v>
      </c>
      <c r="AG26" s="99">
        <f>IF(ISNUMBER(SMALL(Simulation!$O$12:Simulation!$P$26,15)),SMALL(Simulation!$O$12:Simulation!$P$26,15),1)</f>
        <v>1</v>
      </c>
      <c r="AH26" s="99">
        <f>IF(ISNUMBER(SMALL(Simulation!$Q$12:Simulation!$R$26,15)),SMALL(Simulation!$Q$12:Simulation!$R$26,15),1)</f>
        <v>1</v>
      </c>
      <c r="AI26" s="99">
        <f>IF(ISNUMBER(SMALL(Simulation!$S$12:Simulation!$T$26,15)),SMALL(Simulation!$S$12:Simulation!$T$26,15),1)</f>
        <v>1</v>
      </c>
      <c r="AJ26" s="99">
        <f>IF(ISNUMBER(SMALL(Simulation!$U$12:Simulation!$V$26,15)),SMALL(Simulation!$U$12:Simulation!$V$26,15),1)</f>
        <v>1</v>
      </c>
      <c r="AK26" s="99">
        <f>IF(ISNUMBER(SMALL(Simulation!$W$12:Simulation!$X$26,15)),SMALL(Simulation!$W$12:Simulation!$X$26,15),1)</f>
        <v>1</v>
      </c>
      <c r="AL26" s="99">
        <f>IF(ISNUMBER(SMALL(Simulation!$Y$12:Simulation!$Z$26,15)),SMALL(Simulation!$Y$12:Simulation!$Z$26,15),1)</f>
        <v>1</v>
      </c>
      <c r="AM26" s="99">
        <f>IF(ISNUMBER(SMALL(Simulation!$AA$12:Simulation!$AB$26,15)),SMALL(Simulation!$AA$12:Simulation!$AB$26,15),1)</f>
        <v>1</v>
      </c>
      <c r="AN26" s="99">
        <f>IF(ISNUMBER(SMALL(Simulation!$AC$12:Simulation!$AD$26,15)),SMALL(Simulation!$AC$12:Simulation!$AD$26,15),1)</f>
        <v>1</v>
      </c>
      <c r="AO26" s="99">
        <f>IF(ISNUMBER(SMALL(Simulation!$AE$12:Simulation!$AF$26,15)),SMALL(Simulation!$AE$12:Simulation!$AF$26,15),1)</f>
        <v>1</v>
      </c>
    </row>
    <row r="27" spans="23:41" ht="12.75">
      <c r="W27" s="69"/>
      <c r="AD27" s="77">
        <f>IF(ISNUMBER(SMALL(Simulation!$I$12:Simulation!$J$26,16)),SMALL(Simulation!$I$12:Simulation!$J$26,16),1)</f>
        <v>1</v>
      </c>
      <c r="AE27" s="99">
        <f>IF(ISNUMBER(SMALL(Simulation!$K$12:Simulation!$L$26,16)),SMALL(Simulation!$K$12:Simulation!$L$26,16),1)</f>
        <v>1</v>
      </c>
      <c r="AF27" s="99">
        <f>IF(ISNUMBER(SMALL(Simulation!$M$12:Simulation!$N$26,16)),SMALL(Simulation!$M$12:Simulation!$N$26,16),1)</f>
        <v>1</v>
      </c>
      <c r="AG27" s="99">
        <f>IF(ISNUMBER(SMALL(Simulation!$O$12:Simulation!$P$26,16)),SMALL(Simulation!$O$12:Simulation!$P$26,16),1)</f>
        <v>1</v>
      </c>
      <c r="AH27" s="99">
        <f>IF(ISNUMBER(SMALL(Simulation!$Q$12:Simulation!$R$26,16)),SMALL(Simulation!$Q$12:Simulation!$R$26,16),1)</f>
        <v>1</v>
      </c>
      <c r="AI27" s="99">
        <f>IF(ISNUMBER(SMALL(Simulation!$S$12:Simulation!$T$26,16)),SMALL(Simulation!$S$12:Simulation!$T$26,16),1)</f>
        <v>1</v>
      </c>
      <c r="AJ27" s="99">
        <f>IF(ISNUMBER(SMALL(Simulation!$U$12:Simulation!$V$26,16)),SMALL(Simulation!$U$12:Simulation!$V$26,16),1)</f>
        <v>1</v>
      </c>
      <c r="AK27" s="99">
        <f>IF(ISNUMBER(SMALL(Simulation!$W$12:Simulation!$X$26,16)),SMALL(Simulation!$W$12:Simulation!$X$26,16),1)</f>
        <v>1</v>
      </c>
      <c r="AL27" s="99">
        <f>IF(ISNUMBER(SMALL(Simulation!$Y$12:Simulation!$Z$26,16)),SMALL(Simulation!$Y$12:Simulation!$Z$26,16),1)</f>
        <v>1</v>
      </c>
      <c r="AM27" s="99">
        <f>IF(ISNUMBER(SMALL(Simulation!$AA$12:Simulation!$AB$26,16)),SMALL(Simulation!$AA$12:Simulation!$AB$26,16),1)</f>
        <v>1</v>
      </c>
      <c r="AN27" s="99">
        <f>IF(ISNUMBER(SMALL(Simulation!$AC$12:Simulation!$AD$26,16)),SMALL(Simulation!$AC$12:Simulation!$AD$26,16),1)</f>
        <v>1</v>
      </c>
      <c r="AO27" s="99">
        <f>IF(ISNUMBER(SMALL(Simulation!$AE$12:Simulation!$AF$26,16)),SMALL(Simulation!$AE$12:Simulation!$AF$26,16),1)</f>
        <v>1</v>
      </c>
    </row>
    <row r="28" spans="6:41" ht="12.75">
      <c r="F28" s="70"/>
      <c r="G28" s="71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X28" s="72"/>
      <c r="Y28" s="72"/>
      <c r="AD28" s="77">
        <f>IF(ISNUMBER(SMALL(Simulation!$I$12:Simulation!$J$26,17)),SMALL(Simulation!$I$12:Simulation!$J$26,17),1)</f>
        <v>1</v>
      </c>
      <c r="AE28" s="99">
        <f>IF(ISNUMBER(SMALL(Simulation!$K$12:Simulation!$L$26,17)),SMALL(Simulation!$K$12:Simulation!$L$26,17),1)</f>
        <v>1</v>
      </c>
      <c r="AF28" s="99">
        <f>IF(ISNUMBER(SMALL(Simulation!$M$12:Simulation!$N$26,17)),SMALL(Simulation!$M$12:Simulation!$N$26,17),1)</f>
        <v>1</v>
      </c>
      <c r="AG28" s="99">
        <f>IF(ISNUMBER(SMALL(Simulation!$O$12:Simulation!$P$26,17)),SMALL(Simulation!$O$12:Simulation!$P$26,17),1)</f>
        <v>1</v>
      </c>
      <c r="AH28" s="99">
        <f>IF(ISNUMBER(SMALL(Simulation!$Q$12:Simulation!$R$26,17)),SMALL(Simulation!$Q$12:Simulation!$R$26,17),1)</f>
        <v>1</v>
      </c>
      <c r="AI28" s="99">
        <f>IF(ISNUMBER(SMALL(Simulation!$S$12:Simulation!$T$26,17)),SMALL(Simulation!$S$12:Simulation!$T$26,17),1)</f>
        <v>1</v>
      </c>
      <c r="AJ28" s="99">
        <f>IF(ISNUMBER(SMALL(Simulation!$U$12:Simulation!$V$26,17)),SMALL(Simulation!$U$12:Simulation!$V$26,17),1)</f>
        <v>1</v>
      </c>
      <c r="AK28" s="99">
        <f>IF(ISNUMBER(SMALL(Simulation!$W$12:Simulation!$X$26,17)),SMALL(Simulation!$W$12:Simulation!$X$26,17),1)</f>
        <v>1</v>
      </c>
      <c r="AL28" s="99">
        <f>IF(ISNUMBER(SMALL(Simulation!$Y$12:Simulation!$Z$26,17)),SMALL(Simulation!$Y$12:Simulation!$Z$26,17),1)</f>
        <v>1</v>
      </c>
      <c r="AM28" s="99">
        <f>IF(ISNUMBER(SMALL(Simulation!$AA$12:Simulation!$AB$26,17)),SMALL(Simulation!$AA$12:Simulation!$AB$26,17),1)</f>
        <v>1</v>
      </c>
      <c r="AN28" s="99">
        <f>IF(ISNUMBER(SMALL(Simulation!$AC$12:Simulation!$AD$26,17)),SMALL(Simulation!$AC$12:Simulation!$AD$26,17),1)</f>
        <v>1</v>
      </c>
      <c r="AO28" s="99">
        <f>IF(ISNUMBER(SMALL(Simulation!$AE$12:Simulation!$AF$26,17)),SMALL(Simulation!$AE$12:Simulation!$AF$26,17),1)</f>
        <v>1</v>
      </c>
    </row>
    <row r="29" spans="30:41" ht="12.75">
      <c r="AD29" s="77">
        <f>IF(ISNUMBER(SMALL(Simulation!$I$12:Simulation!$J$26,18)),SMALL(Simulation!$I$12:Simulation!$J$26,18),1)</f>
        <v>1</v>
      </c>
      <c r="AE29" s="99">
        <f>IF(ISNUMBER(SMALL(Simulation!$K$12:Simulation!$L$26,18)),SMALL(Simulation!$K$12:Simulation!$L$26,18),1)</f>
        <v>1</v>
      </c>
      <c r="AF29" s="99">
        <f>IF(ISNUMBER(SMALL(Simulation!$M$12:Simulation!$N$26,18)),SMALL(Simulation!$M$12:Simulation!$N$26,18),1)</f>
        <v>1</v>
      </c>
      <c r="AG29" s="99">
        <f>IF(ISNUMBER(SMALL(Simulation!$O$12:Simulation!$P$26,18)),SMALL(Simulation!$O$12:Simulation!$P$26,18),1)</f>
        <v>1</v>
      </c>
      <c r="AH29" s="99">
        <f>IF(ISNUMBER(SMALL(Simulation!$Q$12:Simulation!$R$26,18)),SMALL(Simulation!$Q$12:Simulation!$R$26,18),1)</f>
        <v>1</v>
      </c>
      <c r="AI29" s="99">
        <f>IF(ISNUMBER(SMALL(Simulation!$S$12:Simulation!$T$26,18)),SMALL(Simulation!$S$12:Simulation!$T$26,18),1)</f>
        <v>1</v>
      </c>
      <c r="AJ29" s="99">
        <f>IF(ISNUMBER(SMALL(Simulation!$U$12:Simulation!$V$26,18)),SMALL(Simulation!$U$12:Simulation!$V$26,18),1)</f>
        <v>1</v>
      </c>
      <c r="AK29" s="99">
        <f>IF(ISNUMBER(SMALL(Simulation!$W$12:Simulation!$X$26,18)),SMALL(Simulation!$W$12:Simulation!$X$26,18),1)</f>
        <v>1</v>
      </c>
      <c r="AL29" s="99">
        <f>IF(ISNUMBER(SMALL(Simulation!$Y$12:Simulation!$Z$26,18)),SMALL(Simulation!$Y$12:Simulation!$Z$26,18),1)</f>
        <v>1</v>
      </c>
      <c r="AM29" s="99">
        <f>IF(ISNUMBER(SMALL(Simulation!$AA$12:Simulation!$AB$26,18)),SMALL(Simulation!$AA$12:Simulation!$AB$26,18),1)</f>
        <v>1</v>
      </c>
      <c r="AN29" s="99">
        <f>IF(ISNUMBER(SMALL(Simulation!$AC$12:Simulation!$AD$26,18)),SMALL(Simulation!$AC$12:Simulation!$AD$26,18),1)</f>
        <v>1</v>
      </c>
      <c r="AO29" s="99">
        <f>IF(ISNUMBER(SMALL(Simulation!$AE$12:Simulation!$AF$26,18)),SMALL(Simulation!$AE$12:Simulation!$AF$26,18),1)</f>
        <v>1</v>
      </c>
    </row>
    <row r="30" spans="9:41" ht="12.75">
      <c r="I30" s="73"/>
      <c r="AD30" s="77">
        <f>IF(ISNUMBER(SMALL(Simulation!$I$12:Simulation!$J$26,19)),SMALL(Simulation!$I$12:Simulation!$J$26,19),1)</f>
        <v>1</v>
      </c>
      <c r="AE30" s="99">
        <f>IF(ISNUMBER(SMALL(Simulation!$K$12:Simulation!$L$26,19)),SMALL(Simulation!$K$12:Simulation!$L$26,19),1)</f>
        <v>1</v>
      </c>
      <c r="AF30" s="99">
        <f>IF(ISNUMBER(SMALL(Simulation!$M$12:Simulation!$N$26,19)),SMALL(Simulation!$M$12:Simulation!$N$26,19),1)</f>
        <v>1</v>
      </c>
      <c r="AG30" s="99">
        <f>IF(ISNUMBER(SMALL(Simulation!$O$12:Simulation!$P$26,19)),SMALL(Simulation!$O$12:Simulation!$P$26,19),1)</f>
        <v>1</v>
      </c>
      <c r="AH30" s="99">
        <f>IF(ISNUMBER(SMALL(Simulation!$Q$12:Simulation!$R$26,19)),SMALL(Simulation!$Q$12:Simulation!$R$26,19),1)</f>
        <v>1</v>
      </c>
      <c r="AI30" s="99">
        <f>IF(ISNUMBER(SMALL(Simulation!$S$12:Simulation!$T$26,19)),SMALL(Simulation!$S$12:Simulation!$T$26,19),1)</f>
        <v>1</v>
      </c>
      <c r="AJ30" s="99">
        <f>IF(ISNUMBER(SMALL(Simulation!$U$12:Simulation!$V$26,19)),SMALL(Simulation!$U$12:Simulation!$V$26,19),1)</f>
        <v>1</v>
      </c>
      <c r="AK30" s="99">
        <f>IF(ISNUMBER(SMALL(Simulation!$W$12:Simulation!$X$26,19)),SMALL(Simulation!$W$12:Simulation!$X$26,19),1)</f>
        <v>1</v>
      </c>
      <c r="AL30" s="99">
        <f>IF(ISNUMBER(SMALL(Simulation!$Y$12:Simulation!$Z$26,19)),SMALL(Simulation!$Y$12:Simulation!$Z$26,19),1)</f>
        <v>1</v>
      </c>
      <c r="AM30" s="99">
        <f>IF(ISNUMBER(SMALL(Simulation!$AA$12:Simulation!$AB$26,19)),SMALL(Simulation!$AA$12:Simulation!$AB$26,19),1)</f>
        <v>1</v>
      </c>
      <c r="AN30" s="99">
        <f>IF(ISNUMBER(SMALL(Simulation!$AC$12:Simulation!$AD$26,19)),SMALL(Simulation!$AC$12:Simulation!$AD$26,19),1)</f>
        <v>1</v>
      </c>
      <c r="AO30" s="99">
        <f>IF(ISNUMBER(SMALL(Simulation!$AE$12:Simulation!$AF$26,19)),SMALL(Simulation!$AE$12:Simulation!$AF$26,19),1)</f>
        <v>1</v>
      </c>
    </row>
    <row r="31" spans="30:41" ht="12.75">
      <c r="AD31" s="77">
        <f>IF(ISNUMBER(SMALL(Simulation!$I$12:Simulation!$J$26,20)),SMALL(Simulation!$I$12:Simulation!$J$26,20),1)</f>
        <v>1</v>
      </c>
      <c r="AE31" s="99">
        <f>IF(ISNUMBER(SMALL(Simulation!$K$12:Simulation!$L$26,20)),SMALL(Simulation!$K$12:Simulation!$L$26,20),1)</f>
        <v>1</v>
      </c>
      <c r="AF31" s="99">
        <f>IF(ISNUMBER(SMALL(Simulation!$M$12:Simulation!$N$26,20)),SMALL(Simulation!$M$12:Simulation!$N$26,20),1)</f>
        <v>1</v>
      </c>
      <c r="AG31" s="99">
        <f>IF(ISNUMBER(SMALL(Simulation!$O$12:Simulation!$P$26,20)),SMALL(Simulation!$O$12:Simulation!$P$26,20),1)</f>
        <v>1</v>
      </c>
      <c r="AH31" s="99">
        <f>IF(ISNUMBER(SMALL(Simulation!$Q$12:Simulation!$R$26,20)),SMALL(Simulation!$Q$12:Simulation!$R$26,20),1)</f>
        <v>1</v>
      </c>
      <c r="AI31" s="99">
        <f>IF(ISNUMBER(SMALL(Simulation!$S$12:Simulation!$T$26,20)),SMALL(Simulation!$S$12:Simulation!$T$26,20),1)</f>
        <v>1</v>
      </c>
      <c r="AJ31" s="99">
        <f>IF(ISNUMBER(SMALL(Simulation!$U$12:Simulation!$V$26,20)),SMALL(Simulation!$U$12:Simulation!$V$26,20),1)</f>
        <v>1</v>
      </c>
      <c r="AK31" s="99">
        <f>IF(ISNUMBER(SMALL(Simulation!$W$12:Simulation!$X$26,20)),SMALL(Simulation!$W$12:Simulation!$X$26,20),1)</f>
        <v>1</v>
      </c>
      <c r="AL31" s="99">
        <f>IF(ISNUMBER(SMALL(Simulation!$Y$12:Simulation!$Z$26,20)),SMALL(Simulation!$Y$12:Simulation!$Z$26,20),1)</f>
        <v>1</v>
      </c>
      <c r="AM31" s="99">
        <f>IF(ISNUMBER(SMALL(Simulation!$AA$12:Simulation!$AB$26,20)),SMALL(Simulation!$AA$12:Simulation!$AB$26,20),1)</f>
        <v>1</v>
      </c>
      <c r="AN31" s="99">
        <f>IF(ISNUMBER(SMALL(Simulation!$AC$12:Simulation!$AD$26,20)),SMALL(Simulation!$AC$12:Simulation!$AD$26,20),1)</f>
        <v>1</v>
      </c>
      <c r="AO31" s="99">
        <f>IF(ISNUMBER(SMALL(Simulation!$AE$12:Simulation!$AF$26,20)),SMALL(Simulation!$AE$12:Simulation!$AF$26,20),1)</f>
        <v>1</v>
      </c>
    </row>
    <row r="32" spans="3:41" ht="12.75">
      <c r="C32" s="74"/>
      <c r="D32" s="75"/>
      <c r="AD32" s="77">
        <f>IF(ISNUMBER(SMALL(Simulation!$I$12:Simulation!$J$26,21)),SMALL(Simulation!$I$12:Simulation!$J$26,21),1)</f>
        <v>1</v>
      </c>
      <c r="AE32" s="99">
        <f>IF(ISNUMBER(SMALL(Simulation!$K$12:Simulation!$L$26,21)),SMALL(Simulation!$K$12:Simulation!$L$26,21),1)</f>
        <v>1</v>
      </c>
      <c r="AF32" s="99">
        <f>IF(ISNUMBER(SMALL(Simulation!$M$12:Simulation!$N$26,21)),SMALL(Simulation!$M$12:Simulation!$N$26,21),1)</f>
        <v>1</v>
      </c>
      <c r="AG32" s="99">
        <f>IF(ISNUMBER(SMALL(Simulation!$O$12:Simulation!$P$26,21)),SMALL(Simulation!$O$12:Simulation!$P$26,21),1)</f>
        <v>1</v>
      </c>
      <c r="AH32" s="99">
        <f>IF(ISNUMBER(SMALL(Simulation!$Q$12:Simulation!$R$26,21)),SMALL(Simulation!$Q$12:Simulation!$R$26,21),1)</f>
        <v>1</v>
      </c>
      <c r="AI32" s="99">
        <f>IF(ISNUMBER(SMALL(Simulation!$S$12:Simulation!$T$26,21)),SMALL(Simulation!$S$12:Simulation!$T$26,21),1)</f>
        <v>1</v>
      </c>
      <c r="AJ32" s="99">
        <f>IF(ISNUMBER(SMALL(Simulation!$U$12:Simulation!$V$26,21)),SMALL(Simulation!$U$12:Simulation!$V$26,21),1)</f>
        <v>1</v>
      </c>
      <c r="AK32" s="99">
        <f>IF(ISNUMBER(SMALL(Simulation!$W$12:Simulation!$X$26,21)),SMALL(Simulation!$W$12:Simulation!$X$26,21),1)</f>
        <v>1</v>
      </c>
      <c r="AL32" s="99">
        <f>IF(ISNUMBER(SMALL(Simulation!$Y$12:Simulation!$Z$26,21)),SMALL(Simulation!$Y$12:Simulation!$Z$26,21),1)</f>
        <v>1</v>
      </c>
      <c r="AM32" s="99">
        <f>IF(ISNUMBER(SMALL(Simulation!$AA$12:Simulation!$AB$26,21)),SMALL(Simulation!$AA$12:Simulation!$AB$26,21),1)</f>
        <v>1</v>
      </c>
      <c r="AN32" s="99">
        <f>IF(ISNUMBER(SMALL(Simulation!$AC$12:Simulation!$AD$26,21)),SMALL(Simulation!$AC$12:Simulation!$AD$26,21),1)</f>
        <v>1</v>
      </c>
      <c r="AO32" s="99">
        <f>IF(ISNUMBER(SMALL(Simulation!$AE$12:Simulation!$AF$26,21)),SMALL(Simulation!$AE$12:Simulation!$AF$26,21),1)</f>
        <v>1</v>
      </c>
    </row>
    <row r="33" spans="3:41" ht="12.75">
      <c r="C33" s="74"/>
      <c r="D33" s="75"/>
      <c r="AD33" s="77">
        <f>IF(ISNUMBER(SMALL(Simulation!$I$12:Simulation!$J$26,22)),SMALL(Simulation!$I$12:Simulation!$J$26,22),1)</f>
        <v>1</v>
      </c>
      <c r="AE33" s="99">
        <f>IF(ISNUMBER(SMALL(Simulation!$K$12:Simulation!$L$26,22)),SMALL(Simulation!$K$12:Simulation!$L$26,22),1)</f>
        <v>1</v>
      </c>
      <c r="AF33" s="99">
        <f>IF(ISNUMBER(SMALL(Simulation!$M$12:Simulation!$N$26,22)),SMALL(Simulation!$M$12:Simulation!$N$26,22),1)</f>
        <v>1</v>
      </c>
      <c r="AG33" s="99">
        <f>IF(ISNUMBER(SMALL(Simulation!$O$12:Simulation!$P$26,22)),SMALL(Simulation!$O$12:Simulation!$P$26,22),1)</f>
        <v>1</v>
      </c>
      <c r="AH33" s="99">
        <f>IF(ISNUMBER(SMALL(Simulation!$Q$12:Simulation!$R$26,22)),SMALL(Simulation!$Q$12:Simulation!$R$26,22),1)</f>
        <v>1</v>
      </c>
      <c r="AI33" s="99">
        <f>IF(ISNUMBER(SMALL(Simulation!$S$12:Simulation!$T$26,22)),SMALL(Simulation!$S$12:Simulation!$T$26,22),1)</f>
        <v>1</v>
      </c>
      <c r="AJ33" s="99">
        <f>IF(ISNUMBER(SMALL(Simulation!$U$12:Simulation!$V$26,22)),SMALL(Simulation!$U$12:Simulation!$V$26,22),1)</f>
        <v>1</v>
      </c>
      <c r="AK33" s="99">
        <f>IF(ISNUMBER(SMALL(Simulation!$W$12:Simulation!$X$26,22)),SMALL(Simulation!$W$12:Simulation!$X$26,22),1)</f>
        <v>1</v>
      </c>
      <c r="AL33" s="99">
        <f>IF(ISNUMBER(SMALL(Simulation!$Y$12:Simulation!$Z$26,22)),SMALL(Simulation!$Y$12:Simulation!$Z$26,22),1)</f>
        <v>1</v>
      </c>
      <c r="AM33" s="99">
        <f>IF(ISNUMBER(SMALL(Simulation!$AA$12:Simulation!$AB$26,22)),SMALL(Simulation!$AA$12:Simulation!$AB$26,22),1)</f>
        <v>1</v>
      </c>
      <c r="AN33" s="99">
        <f>IF(ISNUMBER(SMALL(Simulation!$AC$12:Simulation!$AD$26,22)),SMALL(Simulation!$AC$12:Simulation!$AD$26,22),1)</f>
        <v>1</v>
      </c>
      <c r="AO33" s="99">
        <f>IF(ISNUMBER(SMALL(Simulation!$AE$12:Simulation!$AF$26,22)),SMALL(Simulation!$AE$12:Simulation!$AF$26,22),1)</f>
        <v>1</v>
      </c>
    </row>
    <row r="34" spans="3:41" ht="12.75">
      <c r="C34" s="74"/>
      <c r="D34" s="75"/>
      <c r="AD34" s="77">
        <f>IF(ISNUMBER(SMALL(Simulation!$I$12:Simulation!$J$26,23)),SMALL(Simulation!$I$12:Simulation!$J$26,23),1)</f>
        <v>1</v>
      </c>
      <c r="AE34" s="99">
        <f>IF(ISNUMBER(SMALL(Simulation!$K$12:Simulation!$L$26,23)),SMALL(Simulation!$K$12:Simulation!$L$26,23),1)</f>
        <v>1</v>
      </c>
      <c r="AF34" s="99">
        <f>IF(ISNUMBER(SMALL(Simulation!$M$12:Simulation!$N$26,23)),SMALL(Simulation!$M$12:Simulation!$N$26,23),1)</f>
        <v>1</v>
      </c>
      <c r="AG34" s="99">
        <f>IF(ISNUMBER(SMALL(Simulation!$O$12:Simulation!$P$26,23)),SMALL(Simulation!$O$12:Simulation!$P$26,23),1)</f>
        <v>1</v>
      </c>
      <c r="AH34" s="99">
        <f>IF(ISNUMBER(SMALL(Simulation!$Q$12:Simulation!$R$26,23)),SMALL(Simulation!$Q$12:Simulation!$R$26,23),1)</f>
        <v>1</v>
      </c>
      <c r="AI34" s="99">
        <f>IF(ISNUMBER(SMALL(Simulation!$S$12:Simulation!$T$26,23)),SMALL(Simulation!$S$12:Simulation!$T$26,23),1)</f>
        <v>1</v>
      </c>
      <c r="AJ34" s="99">
        <f>IF(ISNUMBER(SMALL(Simulation!$U$12:Simulation!$V$26,23)),SMALL(Simulation!$U$12:Simulation!$V$26,23),1)</f>
        <v>1</v>
      </c>
      <c r="AK34" s="99">
        <f>IF(ISNUMBER(SMALL(Simulation!$W$12:Simulation!$X$26,23)),SMALL(Simulation!$W$12:Simulation!$X$26,23),1)</f>
        <v>1</v>
      </c>
      <c r="AL34" s="99">
        <f>IF(ISNUMBER(SMALL(Simulation!$Y$12:Simulation!$Z$26,23)),SMALL(Simulation!$Y$12:Simulation!$Z$26,23),1)</f>
        <v>1</v>
      </c>
      <c r="AM34" s="99">
        <f>IF(ISNUMBER(SMALL(Simulation!$AA$12:Simulation!$AB$26,23)),SMALL(Simulation!$AA$12:Simulation!$AB$26,23),1)</f>
        <v>1</v>
      </c>
      <c r="AN34" s="99">
        <f>IF(ISNUMBER(SMALL(Simulation!$AC$12:Simulation!$AD$26,23)),SMALL(Simulation!$AC$12:Simulation!$AD$26,23),1)</f>
        <v>1</v>
      </c>
      <c r="AO34" s="99">
        <f>IF(ISNUMBER(SMALL(Simulation!$AE$12:Simulation!$AF$26,23)),SMALL(Simulation!$AE$12:Simulation!$AF$26,23),1)</f>
        <v>1</v>
      </c>
    </row>
    <row r="35" spans="3:41" ht="12.75">
      <c r="C35" s="74"/>
      <c r="D35" s="75"/>
      <c r="AD35" s="77">
        <f>IF(ISNUMBER(SMALL(Simulation!$I$12:Simulation!$J$26,24)),SMALL(Simulation!$I$12:Simulation!$J$26,24),1)</f>
        <v>1</v>
      </c>
      <c r="AE35" s="99">
        <f>IF(ISNUMBER(SMALL(Simulation!$K$12:Simulation!$L$26,24)),SMALL(Simulation!$K$12:Simulation!$L$26,24),1)</f>
        <v>1</v>
      </c>
      <c r="AF35" s="99">
        <f>IF(ISNUMBER(SMALL(Simulation!$M$12:Simulation!$N$26,24)),SMALL(Simulation!$M$12:Simulation!$N$26,24),1)</f>
        <v>1</v>
      </c>
      <c r="AG35" s="99">
        <f>IF(ISNUMBER(SMALL(Simulation!$O$12:Simulation!$P$26,24)),SMALL(Simulation!$O$12:Simulation!$P$26,24),1)</f>
        <v>1</v>
      </c>
      <c r="AH35" s="99">
        <f>IF(ISNUMBER(SMALL(Simulation!$Q$12:Simulation!$R$26,24)),SMALL(Simulation!$Q$12:Simulation!$R$26,24),1)</f>
        <v>1</v>
      </c>
      <c r="AI35" s="99">
        <f>IF(ISNUMBER(SMALL(Simulation!$S$12:Simulation!$T$26,24)),SMALL(Simulation!$S$12:Simulation!$T$26,24),1)</f>
        <v>1</v>
      </c>
      <c r="AJ35" s="99">
        <f>IF(ISNUMBER(SMALL(Simulation!$U$12:Simulation!$V$26,24)),SMALL(Simulation!$U$12:Simulation!$V$26,24),1)</f>
        <v>1</v>
      </c>
      <c r="AK35" s="99">
        <f>IF(ISNUMBER(SMALL(Simulation!$W$12:Simulation!$X$26,24)),SMALL(Simulation!$W$12:Simulation!$X$26,24),1)</f>
        <v>1</v>
      </c>
      <c r="AL35" s="99">
        <f>IF(ISNUMBER(SMALL(Simulation!$Y$12:Simulation!$Z$26,24)),SMALL(Simulation!$Y$12:Simulation!$Z$26,24),1)</f>
        <v>1</v>
      </c>
      <c r="AM35" s="99">
        <f>IF(ISNUMBER(SMALL(Simulation!$AA$12:Simulation!$AB$26,24)),SMALL(Simulation!$AA$12:Simulation!$AB$26,24),1)</f>
        <v>1</v>
      </c>
      <c r="AN35" s="99">
        <f>IF(ISNUMBER(SMALL(Simulation!$AC$12:Simulation!$AD$26,24)),SMALL(Simulation!$AC$12:Simulation!$AD$26,24),1)</f>
        <v>1</v>
      </c>
      <c r="AO35" s="99">
        <f>IF(ISNUMBER(SMALL(Simulation!$AE$12:Simulation!$AF$26,24)),SMALL(Simulation!$AE$12:Simulation!$AF$26,24),1)</f>
        <v>1</v>
      </c>
    </row>
    <row r="36" spans="3:41" ht="12.75">
      <c r="C36" s="74"/>
      <c r="D36" s="75"/>
      <c r="AD36" s="77">
        <f>IF(ISNUMBER(SMALL(Simulation!$I$12:Simulation!$J$26,25)),SMALL(Simulation!$I$12:Simulation!$J$26,25),1)</f>
        <v>1</v>
      </c>
      <c r="AE36" s="99">
        <f>IF(ISNUMBER(SMALL(Simulation!$K$12:Simulation!$L$26,25)),SMALL(Simulation!$K$12:Simulation!$L$26,25),1)</f>
        <v>1</v>
      </c>
      <c r="AF36" s="99">
        <f>IF(ISNUMBER(SMALL(Simulation!$M$12:Simulation!$N$26,25)),SMALL(Simulation!$M$12:Simulation!$N$26,25),1)</f>
        <v>1</v>
      </c>
      <c r="AG36" s="99">
        <f>IF(ISNUMBER(SMALL(Simulation!$O$12:Simulation!$P$26,25)),SMALL(Simulation!$O$12:Simulation!$P$26,25),1)</f>
        <v>1</v>
      </c>
      <c r="AH36" s="99">
        <f>IF(ISNUMBER(SMALL(Simulation!$Q$12:Simulation!$R$26,25)),SMALL(Simulation!$Q$12:Simulation!$R$26,25),1)</f>
        <v>1</v>
      </c>
      <c r="AI36" s="99">
        <f>IF(ISNUMBER(SMALL(Simulation!$S$12:Simulation!$T$26,25)),SMALL(Simulation!$S$12:Simulation!$T$26,25),1)</f>
        <v>1</v>
      </c>
      <c r="AJ36" s="99">
        <f>IF(ISNUMBER(SMALL(Simulation!$U$12:Simulation!$V$26,25)),SMALL(Simulation!$U$12:Simulation!$V$26,25),1)</f>
        <v>1</v>
      </c>
      <c r="AK36" s="99">
        <f>IF(ISNUMBER(SMALL(Simulation!$W$12:Simulation!$X$26,25)),SMALL(Simulation!$W$12:Simulation!$X$26,25),1)</f>
        <v>1</v>
      </c>
      <c r="AL36" s="99">
        <f>IF(ISNUMBER(SMALL(Simulation!$Y$12:Simulation!$Z$26,25)),SMALL(Simulation!$Y$12:Simulation!$Z$26,25),1)</f>
        <v>1</v>
      </c>
      <c r="AM36" s="99">
        <f>IF(ISNUMBER(SMALL(Simulation!$AA$12:Simulation!$AB$26,25)),SMALL(Simulation!$AA$12:Simulation!$AB$26,25),1)</f>
        <v>1</v>
      </c>
      <c r="AN36" s="99">
        <f>IF(ISNUMBER(SMALL(Simulation!$AC$12:Simulation!$AD$26,25)),SMALL(Simulation!$AC$12:Simulation!$AD$26,25),1)</f>
        <v>1</v>
      </c>
      <c r="AO36" s="99">
        <f>IF(ISNUMBER(SMALL(Simulation!$AE$12:Simulation!$AF$26,25)),SMALL(Simulation!$AE$12:Simulation!$AF$26,25),1)</f>
        <v>1</v>
      </c>
    </row>
    <row r="37" spans="30:41" ht="12.75">
      <c r="AD37" s="77">
        <f>IF(ISNUMBER(SMALL(Simulation!$I$12:Simulation!$J$26,26)),SMALL(Simulation!$I$12:Simulation!$J$26,26),1)</f>
        <v>1</v>
      </c>
      <c r="AE37" s="99">
        <f>IF(ISNUMBER(SMALL(Simulation!$K$12:Simulation!$L$26,26)),SMALL(Simulation!$K$12:Simulation!$L$26,26),1)</f>
        <v>1</v>
      </c>
      <c r="AF37" s="99">
        <f>IF(ISNUMBER(SMALL(Simulation!$M$12:Simulation!$N$26,26)),SMALL(Simulation!$M$12:Simulation!$N$26,26),1)</f>
        <v>1</v>
      </c>
      <c r="AG37" s="99">
        <f>IF(ISNUMBER(SMALL(Simulation!$O$12:Simulation!$P$26,26)),SMALL(Simulation!$O$12:Simulation!$P$26,26),1)</f>
        <v>1</v>
      </c>
      <c r="AH37" s="99">
        <f>IF(ISNUMBER(SMALL(Simulation!$Q$12:Simulation!$R$26,26)),SMALL(Simulation!$Q$12:Simulation!$R$26,26),1)</f>
        <v>1</v>
      </c>
      <c r="AI37" s="99">
        <f>IF(ISNUMBER(SMALL(Simulation!$S$12:Simulation!$T$26,26)),SMALL(Simulation!$S$12:Simulation!$T$26,26),1)</f>
        <v>1</v>
      </c>
      <c r="AJ37" s="99">
        <f>IF(ISNUMBER(SMALL(Simulation!$U$12:Simulation!$V$26,26)),SMALL(Simulation!$U$12:Simulation!$V$26,26),1)</f>
        <v>1</v>
      </c>
      <c r="AK37" s="99">
        <f>IF(ISNUMBER(SMALL(Simulation!$W$12:Simulation!$X$26,26)),SMALL(Simulation!$W$12:Simulation!$X$26,26),1)</f>
        <v>1</v>
      </c>
      <c r="AL37" s="99">
        <f>IF(ISNUMBER(SMALL(Simulation!$Y$12:Simulation!$Z$26,26)),SMALL(Simulation!$Y$12:Simulation!$Z$26,26),1)</f>
        <v>1</v>
      </c>
      <c r="AM37" s="99">
        <f>IF(ISNUMBER(SMALL(Simulation!$AA$12:Simulation!$AB$26,26)),SMALL(Simulation!$AA$12:Simulation!$AB$26,26),1)</f>
        <v>1</v>
      </c>
      <c r="AN37" s="99">
        <f>IF(ISNUMBER(SMALL(Simulation!$AC$12:Simulation!$AD$26,26)),SMALL(Simulation!$AC$12:Simulation!$AD$26,26),1)</f>
        <v>1</v>
      </c>
      <c r="AO37" s="99">
        <f>IF(ISNUMBER(SMALL(Simulation!$AE$12:Simulation!$AF$26,26)),SMALL(Simulation!$AE$12:Simulation!$AF$26,26),1)</f>
        <v>1</v>
      </c>
    </row>
    <row r="38" spans="30:41" ht="12.75">
      <c r="AD38" s="77">
        <f>IF(ISNUMBER(SMALL(Simulation!$I$12:Simulation!$J$26,27)),SMALL(Simulation!$I$12:Simulation!$J$26,27),1)</f>
        <v>1</v>
      </c>
      <c r="AE38" s="99">
        <f>IF(ISNUMBER(SMALL(Simulation!$K$12:Simulation!$L$26,27)),SMALL(Simulation!$K$12:Simulation!$L$26,27),1)</f>
        <v>1</v>
      </c>
      <c r="AF38" s="99">
        <f>IF(ISNUMBER(SMALL(Simulation!$M$12:Simulation!$N$26,27)),SMALL(Simulation!$M$12:Simulation!$N$26,27),1)</f>
        <v>1</v>
      </c>
      <c r="AG38" s="99">
        <f>IF(ISNUMBER(SMALL(Simulation!$O$12:Simulation!$P$26,27)),SMALL(Simulation!$O$12:Simulation!$P$26,27),1)</f>
        <v>1</v>
      </c>
      <c r="AH38" s="99">
        <f>IF(ISNUMBER(SMALL(Simulation!$Q$12:Simulation!$R$26,27)),SMALL(Simulation!$Q$12:Simulation!$R$26,27),1)</f>
        <v>1</v>
      </c>
      <c r="AI38" s="99">
        <f>IF(ISNUMBER(SMALL(Simulation!$S$12:Simulation!$T$26,27)),SMALL(Simulation!$S$12:Simulation!$T$26,27),1)</f>
        <v>1</v>
      </c>
      <c r="AJ38" s="99">
        <f>IF(ISNUMBER(SMALL(Simulation!$U$12:Simulation!$V$26,27)),SMALL(Simulation!$U$12:Simulation!$V$26,27),1)</f>
        <v>1</v>
      </c>
      <c r="AK38" s="99">
        <f>IF(ISNUMBER(SMALL(Simulation!$W$12:Simulation!$X$26,27)),SMALL(Simulation!$W$12:Simulation!$X$26,27),1)</f>
        <v>1</v>
      </c>
      <c r="AL38" s="99">
        <f>IF(ISNUMBER(SMALL(Simulation!$Y$12:Simulation!$Z$26,27)),SMALL(Simulation!$Y$12:Simulation!$Z$26,27),1)</f>
        <v>1</v>
      </c>
      <c r="AM38" s="99">
        <f>IF(ISNUMBER(SMALL(Simulation!$AA$12:Simulation!$AB$26,27)),SMALL(Simulation!$AA$12:Simulation!$AB$26,27),1)</f>
        <v>1</v>
      </c>
      <c r="AN38" s="99">
        <f>IF(ISNUMBER(SMALL(Simulation!$AC$12:Simulation!$AD$26,27)),SMALL(Simulation!$AC$12:Simulation!$AD$26,27),1)</f>
        <v>1</v>
      </c>
      <c r="AO38" s="99">
        <f>IF(ISNUMBER(SMALL(Simulation!$AE$12:Simulation!$AF$26,27)),SMALL(Simulation!$AE$12:Simulation!$AF$26,27),1)</f>
        <v>1</v>
      </c>
    </row>
    <row r="39" spans="30:41" ht="12.75">
      <c r="AD39" s="77">
        <f>IF(ISNUMBER(SMALL(Simulation!$I$12:Simulation!$J$26,28)),SMALL(Simulation!$I$12:Simulation!$J$26,28),1)</f>
        <v>1</v>
      </c>
      <c r="AE39" s="99">
        <f>IF(ISNUMBER(SMALL(Simulation!$K$12:Simulation!$L$26,28)),SMALL(Simulation!$K$12:Simulation!$L$26,28),1)</f>
        <v>1</v>
      </c>
      <c r="AF39" s="99">
        <f>IF(ISNUMBER(SMALL(Simulation!$M$12:Simulation!$N$26,28)),SMALL(Simulation!$M$12:Simulation!$N$26,28),1)</f>
        <v>1</v>
      </c>
      <c r="AG39" s="99">
        <f>IF(ISNUMBER(SMALL(Simulation!$O$12:Simulation!$P$26,28)),SMALL(Simulation!$O$12:Simulation!$P$26,28),1)</f>
        <v>1</v>
      </c>
      <c r="AH39" s="99">
        <f>IF(ISNUMBER(SMALL(Simulation!$Q$12:Simulation!$R$26,28)),SMALL(Simulation!$Q$12:Simulation!$R$26,28),1)</f>
        <v>1</v>
      </c>
      <c r="AI39" s="99">
        <f>IF(ISNUMBER(SMALL(Simulation!$S$12:Simulation!$T$26,28)),SMALL(Simulation!$S$12:Simulation!$T$26,28),1)</f>
        <v>1</v>
      </c>
      <c r="AJ39" s="99">
        <f>IF(ISNUMBER(SMALL(Simulation!$U$12:Simulation!$V$26,28)),SMALL(Simulation!$U$12:Simulation!$V$26,28),1)</f>
        <v>1</v>
      </c>
      <c r="AK39" s="99">
        <f>IF(ISNUMBER(SMALL(Simulation!$W$12:Simulation!$X$26,28)),SMALL(Simulation!$W$12:Simulation!$X$26,28),1)</f>
        <v>1</v>
      </c>
      <c r="AL39" s="99">
        <f>IF(ISNUMBER(SMALL(Simulation!$Y$12:Simulation!$Z$26,28)),SMALL(Simulation!$Y$12:Simulation!$Z$26,28),1)</f>
        <v>1</v>
      </c>
      <c r="AM39" s="99">
        <f>IF(ISNUMBER(SMALL(Simulation!$AA$12:Simulation!$AB$26,28)),SMALL(Simulation!$AA$12:Simulation!$AB$26,28),1)</f>
        <v>1</v>
      </c>
      <c r="AN39" s="99">
        <f>IF(ISNUMBER(SMALL(Simulation!$AC$12:Simulation!$AD$26,28)),SMALL(Simulation!$AC$12:Simulation!$AD$26,28),1)</f>
        <v>1</v>
      </c>
      <c r="AO39" s="99">
        <f>IF(ISNUMBER(SMALL(Simulation!$AE$12:Simulation!$AF$26,28)),SMALL(Simulation!$AE$12:Simulation!$AF$26,28),1)</f>
        <v>1</v>
      </c>
    </row>
    <row r="40" spans="30:41" ht="12.75">
      <c r="AD40" s="77">
        <f>IF(ISNUMBER(SMALL(Simulation!$I$12:Simulation!$J$26,29)),SMALL(Simulation!$I$12:Simulation!$J$26,29),1)</f>
        <v>1</v>
      </c>
      <c r="AE40" s="99">
        <f>IF(ISNUMBER(SMALL(Simulation!$K$12:Simulation!$L$26,29)),SMALL(Simulation!$K$12:Simulation!$L$26,29),1)</f>
        <v>1</v>
      </c>
      <c r="AF40" s="99">
        <f>IF(ISNUMBER(SMALL(Simulation!$M$12:Simulation!$N$26,29)),SMALL(Simulation!$M$12:Simulation!$N$26,29),1)</f>
        <v>1</v>
      </c>
      <c r="AG40" s="99">
        <f>IF(ISNUMBER(SMALL(Simulation!$O$12:Simulation!$P$26,29)),SMALL(Simulation!$O$12:Simulation!$P$26,29),1)</f>
        <v>1</v>
      </c>
      <c r="AH40" s="99">
        <f>IF(ISNUMBER(SMALL(Simulation!$Q$12:Simulation!$R$26,29)),SMALL(Simulation!$Q$12:Simulation!$R$26,29),1)</f>
        <v>1</v>
      </c>
      <c r="AI40" s="99">
        <f>IF(ISNUMBER(SMALL(Simulation!$S$12:Simulation!$T$26,29)),SMALL(Simulation!$S$12:Simulation!$T$26,29),1)</f>
        <v>1</v>
      </c>
      <c r="AJ40" s="99">
        <f>IF(ISNUMBER(SMALL(Simulation!$U$12:Simulation!$V$26,29)),SMALL(Simulation!$U$12:Simulation!$V$26,29),1)</f>
        <v>1</v>
      </c>
      <c r="AK40" s="99">
        <f>IF(ISNUMBER(SMALL(Simulation!$W$12:Simulation!$X$26,29)),SMALL(Simulation!$W$12:Simulation!$X$26,29),1)</f>
        <v>1</v>
      </c>
      <c r="AL40" s="99">
        <f>IF(ISNUMBER(SMALL(Simulation!$Y$12:Simulation!$Z$26,29)),SMALL(Simulation!$Y$12:Simulation!$Z$26,29),1)</f>
        <v>1</v>
      </c>
      <c r="AM40" s="99">
        <f>IF(ISNUMBER(SMALL(Simulation!$AA$12:Simulation!$AB$26,29)),SMALL(Simulation!$AA$12:Simulation!$AB$26,29),1)</f>
        <v>1</v>
      </c>
      <c r="AN40" s="99">
        <f>IF(ISNUMBER(SMALL(Simulation!$AC$12:Simulation!$AD$26,29)),SMALL(Simulation!$AC$12:Simulation!$AD$26,29),1)</f>
        <v>1</v>
      </c>
      <c r="AO40" s="99">
        <f>IF(ISNUMBER(SMALL(Simulation!$AE$12:Simulation!$AF$26,29)),SMALL(Simulation!$AE$12:Simulation!$AF$26,29),1)</f>
        <v>1</v>
      </c>
    </row>
    <row r="41" spans="30:41" ht="12.75">
      <c r="AD41" s="77">
        <f>IF(ISNUMBER(SMALL(Simulation!$I$12:Simulation!$J$26,30)),SMALL(Simulation!$I$12:Simulation!$J$26,30),1)</f>
        <v>1</v>
      </c>
      <c r="AE41" s="99">
        <f>IF(ISNUMBER(SMALL(Simulation!$K$12:Simulation!$L$26,30)),SMALL(Simulation!$K$12:Simulation!$L$26,30),1)</f>
        <v>1</v>
      </c>
      <c r="AF41" s="99">
        <f>IF(ISNUMBER(SMALL(Simulation!$M$12:Simulation!$N$26,30)),SMALL(Simulation!$M$12:Simulation!$N$26,30),1)</f>
        <v>1</v>
      </c>
      <c r="AG41" s="99">
        <f>IF(ISNUMBER(SMALL(Simulation!$O$12:Simulation!$P$26,30)),SMALL(Simulation!$O$12:Simulation!$P$26,30),1)</f>
        <v>1</v>
      </c>
      <c r="AH41" s="99">
        <f>IF(ISNUMBER(SMALL(Simulation!$Q$12:Simulation!$R$26,30)),SMALL(Simulation!$Q$12:Simulation!$R$26,30),1)</f>
        <v>1</v>
      </c>
      <c r="AI41" s="99">
        <f>IF(ISNUMBER(SMALL(Simulation!$S$12:Simulation!$T$26,30)),SMALL(Simulation!$S$12:Simulation!$T$26,30),1)</f>
        <v>1</v>
      </c>
      <c r="AJ41" s="99">
        <f>IF(ISNUMBER(SMALL(Simulation!$U$12:Simulation!$V$26,30)),SMALL(Simulation!$U$12:Simulation!$V$26,30),1)</f>
        <v>1</v>
      </c>
      <c r="AK41" s="99">
        <f>IF(ISNUMBER(SMALL(Simulation!$W$12:Simulation!$X$26,30)),SMALL(Simulation!$W$12:Simulation!$X$26,30),1)</f>
        <v>1</v>
      </c>
      <c r="AL41" s="99">
        <f>IF(ISNUMBER(SMALL(Simulation!$Y$12:Simulation!$Z$26,30)),SMALL(Simulation!$Y$12:Simulation!$Z$26,30),1)</f>
        <v>1</v>
      </c>
      <c r="AM41" s="99">
        <f>IF(ISNUMBER(SMALL(Simulation!$AA$12:Simulation!$AB$26,30)),SMALL(Simulation!$AA$12:Simulation!$AB$26,30),1)</f>
        <v>1</v>
      </c>
      <c r="AN41" s="99">
        <f>IF(ISNUMBER(SMALL(Simulation!$AC$12:Simulation!$AD$26,30)),SMALL(Simulation!$AC$12:Simulation!$AD$26,30),1)</f>
        <v>1</v>
      </c>
      <c r="AO41" s="99">
        <f>IF(ISNUMBER(SMALL(Simulation!$AE$12:Simulation!$AF$26,30)),SMALL(Simulation!$AE$12:Simulation!$AF$26,30),1)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100</v>
      </c>
    </row>
    <row r="2" ht="15.75">
      <c r="A2" s="2" t="s">
        <v>69</v>
      </c>
    </row>
    <row r="3" ht="12.75" customHeight="1">
      <c r="B3" s="3" t="s">
        <v>70</v>
      </c>
    </row>
    <row r="4" ht="12.75" customHeight="1">
      <c r="B4" s="3"/>
    </row>
    <row r="5" ht="12.75">
      <c r="A5" s="4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10" ht="12.75">
      <c r="A10" s="4" t="s">
        <v>75</v>
      </c>
    </row>
    <row r="11" ht="12.75">
      <c r="A11" t="s">
        <v>76</v>
      </c>
    </row>
    <row r="12" ht="12.75">
      <c r="A12" t="s">
        <v>101</v>
      </c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ht="12.75">
      <c r="A17" t="s">
        <v>81</v>
      </c>
    </row>
    <row r="18" ht="12.75">
      <c r="A18" t="s">
        <v>102</v>
      </c>
    </row>
    <row r="19" ht="12.75">
      <c r="A19" t="s">
        <v>103</v>
      </c>
    </row>
    <row r="20" ht="12.75">
      <c r="A20" t="s">
        <v>82</v>
      </c>
    </row>
    <row r="22" ht="12.75">
      <c r="A22" s="4" t="s">
        <v>83</v>
      </c>
    </row>
    <row r="23" ht="12.75">
      <c r="A23" t="s">
        <v>104</v>
      </c>
    </row>
    <row r="24" ht="12.75">
      <c r="A24" t="s">
        <v>105</v>
      </c>
    </row>
    <row r="25" ht="12.75">
      <c r="A25" t="s">
        <v>101</v>
      </c>
    </row>
    <row r="26" ht="12.75">
      <c r="A26" t="s">
        <v>84</v>
      </c>
    </row>
    <row r="27" ht="12.75">
      <c r="A27" t="s">
        <v>85</v>
      </c>
    </row>
    <row r="29" ht="12.75">
      <c r="A29" s="4" t="s">
        <v>86</v>
      </c>
    </row>
    <row r="30" ht="12.75">
      <c r="A30" t="s">
        <v>87</v>
      </c>
    </row>
    <row r="31" ht="12.75">
      <c r="A31" t="s">
        <v>88</v>
      </c>
    </row>
    <row r="32" ht="12.75">
      <c r="A32" t="s">
        <v>89</v>
      </c>
    </row>
    <row r="34" ht="12.75">
      <c r="A34" s="4" t="s">
        <v>90</v>
      </c>
    </row>
    <row r="35" ht="12.75">
      <c r="A35" t="s">
        <v>106</v>
      </c>
    </row>
    <row r="36" ht="12.75">
      <c r="A36" t="s">
        <v>91</v>
      </c>
    </row>
    <row r="37" ht="12.75">
      <c r="A37" t="s">
        <v>92</v>
      </c>
    </row>
    <row r="38" ht="12.75">
      <c r="A38" t="s">
        <v>93</v>
      </c>
    </row>
    <row r="39" ht="12.75">
      <c r="A39" t="s">
        <v>107</v>
      </c>
    </row>
    <row r="40" ht="12.75">
      <c r="A40" t="s">
        <v>108</v>
      </c>
    </row>
    <row r="41" ht="12.75">
      <c r="A41" t="s">
        <v>109</v>
      </c>
    </row>
    <row r="43" ht="12.75">
      <c r="A43" s="4" t="s">
        <v>94</v>
      </c>
    </row>
    <row r="44" ht="12.75">
      <c r="A44" t="s">
        <v>110</v>
      </c>
    </row>
    <row r="45" ht="12.75">
      <c r="A45" t="s">
        <v>95</v>
      </c>
    </row>
    <row r="46" ht="12.75">
      <c r="A46" t="s">
        <v>96</v>
      </c>
    </row>
    <row r="47" ht="12.75">
      <c r="A47" t="s">
        <v>97</v>
      </c>
    </row>
    <row r="48" ht="12.75">
      <c r="A48" t="s">
        <v>98</v>
      </c>
    </row>
    <row r="50" ht="12.75">
      <c r="A50" s="4" t="s">
        <v>99</v>
      </c>
    </row>
    <row r="51" ht="12.75">
      <c r="A51" t="s">
        <v>111</v>
      </c>
    </row>
    <row r="52" ht="12.75">
      <c r="A52" t="s">
        <v>112</v>
      </c>
    </row>
    <row r="54" ht="12.75">
      <c r="A54" s="96" t="s">
        <v>113</v>
      </c>
    </row>
    <row r="55" ht="12.75">
      <c r="A55" t="s">
        <v>114</v>
      </c>
    </row>
    <row r="56" ht="12.75">
      <c r="A56" t="s">
        <v>115</v>
      </c>
    </row>
    <row r="57" ht="12.75">
      <c r="A57" t="s">
        <v>116</v>
      </c>
    </row>
    <row r="58" ht="12.75">
      <c r="A58" t="s">
        <v>117</v>
      </c>
    </row>
    <row r="60" ht="12.75">
      <c r="A60" s="5" t="s">
        <v>118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2001-03-19T01:03:47Z</dcterms:created>
  <dcterms:modified xsi:type="dcterms:W3CDTF">2001-09-17T16:32:45Z</dcterms:modified>
  <cp:category/>
  <cp:version/>
  <cp:contentType/>
  <cp:contentStatus/>
</cp:coreProperties>
</file>