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0" windowWidth="15360" windowHeight="8835" tabRatio="599" activeTab="1"/>
  </bookViews>
  <sheets>
    <sheet name="Data" sheetId="1" r:id="rId1"/>
    <sheet name="Simulation" sheetId="2" r:id="rId2"/>
    <sheet name="Computations" sheetId="3" r:id="rId3"/>
    <sheet name="Copyright" sheetId="4" r:id="rId4"/>
  </sheets>
  <definedNames>
    <definedName name="arrival">'Data'!$B$11:$D$14</definedName>
    <definedName name="balk_num">'Data'!$E$4</definedName>
    <definedName name="close_time">'Data'!$C$4</definedName>
    <definedName name="renege_time">'Computations'!$E$2</definedName>
    <definedName name="service">'Data'!$G$11:$I$13</definedName>
    <definedName name="start_time">'Data'!$A$4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<sst xmlns="http://schemas.openxmlformats.org/spreadsheetml/2006/main" count="203" uniqueCount="113">
  <si>
    <t>Spreadsheet Simulation Queueing Engine:  5 Servers with Balking and Reneging</t>
  </si>
  <si>
    <t>Start Time</t>
  </si>
  <si>
    <t>Close Time</t>
  </si>
  <si>
    <t>Balk if queue length is or exceeds</t>
  </si>
  <si>
    <t>Renege if waiting time exceeds</t>
  </si>
  <si>
    <t>minute(s)</t>
  </si>
  <si>
    <t>Interarrival Time Probability Distribution</t>
  </si>
  <si>
    <t>Service Time Probability Distribution</t>
  </si>
  <si>
    <t>Lower</t>
  </si>
  <si>
    <t>Upper</t>
  </si>
  <si>
    <t>Interarrival</t>
  </si>
  <si>
    <t>Service</t>
  </si>
  <si>
    <t>Probability</t>
  </si>
  <si>
    <t>Bound</t>
  </si>
  <si>
    <t>Time</t>
  </si>
  <si>
    <t>(min)</t>
  </si>
  <si>
    <t>Queue</t>
  </si>
  <si>
    <t>Cust</t>
  </si>
  <si>
    <t>Arrival</t>
  </si>
  <si>
    <t>Length</t>
  </si>
  <si>
    <t>Renege</t>
  </si>
  <si>
    <t xml:space="preserve">Server #1 </t>
  </si>
  <si>
    <t>Server #2</t>
  </si>
  <si>
    <t>Server #3</t>
  </si>
  <si>
    <t>Server #4</t>
  </si>
  <si>
    <t>Server #5</t>
  </si>
  <si>
    <t>Wait</t>
  </si>
  <si>
    <t>Total</t>
  </si>
  <si>
    <t>#</t>
  </si>
  <si>
    <t>at Arrival</t>
  </si>
  <si>
    <t>Balk?</t>
  </si>
  <si>
    <t>Renege?</t>
  </si>
  <si>
    <t>Depart</t>
  </si>
  <si>
    <t>Start</t>
  </si>
  <si>
    <t>End</t>
  </si>
  <si>
    <t>Wait Time</t>
  </si>
  <si>
    <t>(hr:min)</t>
  </si>
  <si>
    <t>(# cust.)</t>
  </si>
  <si>
    <t>start</t>
  </si>
  <si>
    <t>renege_time(serial) (Named "renege_time")</t>
  </si>
  <si>
    <t xml:space="preserve">Interarrival </t>
  </si>
  <si>
    <t>Potential</t>
  </si>
  <si>
    <t xml:space="preserve">Service </t>
  </si>
  <si>
    <t>#1Start</t>
  </si>
  <si>
    <t>#2 Start</t>
  </si>
  <si>
    <t>#3 Start</t>
  </si>
  <si>
    <t>#4Start</t>
  </si>
  <si>
    <t>#5Start</t>
  </si>
  <si>
    <t>Earliest</t>
  </si>
  <si>
    <t>Actual</t>
  </si>
  <si>
    <t xml:space="preserve">Next </t>
  </si>
  <si>
    <t>User Input</t>
  </si>
  <si>
    <t>time</t>
  </si>
  <si>
    <t>Server</t>
  </si>
  <si>
    <t>(serial)</t>
  </si>
  <si>
    <t>Spreadsheet Queueing Simulation Engines</t>
  </si>
  <si>
    <t>see below for important copyright information</t>
  </si>
  <si>
    <t>Background</t>
  </si>
  <si>
    <t>This spreadsheet queueing simulation engine was developed to simplify or eliminate the difficult programming required to simulate</t>
  </si>
  <si>
    <t>a queue in a spreadsheet.  The user need only customize the spreadsheet queueing simulation engine with the</t>
  </si>
  <si>
    <t>appropriate data, and then perform simulation runs in the usual fashion.</t>
  </si>
  <si>
    <t>Instructions for use...</t>
  </si>
  <si>
    <t>Instructions for the use of this spreadsheet queueing engine can be found on the world wide web, at</t>
  </si>
  <si>
    <t xml:space="preserve">The basic idea is that you go to the Computations Worksheet and insert the probability distributions of your choice </t>
  </si>
  <si>
    <t>for the interarrival time distribution and the service time distribution in the colored columns.</t>
  </si>
  <si>
    <t>Change a few numbers in the green boxes in the Data Worksheet as appropriate.</t>
  </si>
  <si>
    <t xml:space="preserve">Then copy the cell formulas in the last row of the Simulation Worksheet down for as many customers as you would like to  </t>
  </si>
  <si>
    <t xml:space="preserve">simulate.  Copy down the same number of rows on the Computations Worksheet (make sure you have the </t>
  </si>
  <si>
    <t>Then run simulations using the spreadsheet simulation software of your choice.</t>
  </si>
  <si>
    <t>Updates</t>
  </si>
  <si>
    <t xml:space="preserve">Additional information regarding spreadsheet simulation, including texts and training courses, can be found at </t>
  </si>
  <si>
    <t>http://www.ucalgary.ca/~grossman/resources/</t>
  </si>
  <si>
    <t>Note:</t>
  </si>
  <si>
    <t xml:space="preserve">Cells that contain formulas for the spreadsheet queueing engine have been "protected" to prevent accidental changes </t>
  </si>
  <si>
    <t>to the cell formulas.  If you choose to make changes to the cell formulas that have been provided, you need</t>
  </si>
  <si>
    <t>to use Tool - Protection - Unprotect sheet.  (We recommend that you exercise care if you choose to do this.)</t>
  </si>
  <si>
    <t>Acknowledgments</t>
  </si>
  <si>
    <t>This research was partially supported by Canadian Natural Sciences and Engineering Research Council Grant OGP0172794.</t>
  </si>
  <si>
    <t xml:space="preserve">Distribution of this software via the World Wide Web (but not the development of this software) was partially supported </t>
  </si>
  <si>
    <t>by the "Learning Enhancement Envelope" Program of the Province of Alberta, Canada.</t>
  </si>
  <si>
    <t>Legalities and Copyright</t>
  </si>
  <si>
    <r>
      <t xml:space="preserve">This software program may be </t>
    </r>
    <r>
      <rPr>
        <b/>
        <sz val="10"/>
        <rFont val="Arial"/>
        <family val="0"/>
      </rPr>
      <t>freely copied, distributed and modified</t>
    </r>
    <r>
      <rPr>
        <sz val="10"/>
        <rFont val="Arial"/>
        <family val="0"/>
      </rPr>
      <t xml:space="preserve"> provided that this Copyright Worksheet is </t>
    </r>
  </si>
  <si>
    <t>retained (without any alterations) within the software program, and is obviously visible to anyone using the software program.</t>
  </si>
  <si>
    <t xml:space="preserve">This software program is for use at your own risk.  No warranty, express or implied, is provided for the use </t>
  </si>
  <si>
    <t>of this software program.  This software program may contain errors.</t>
  </si>
  <si>
    <t>Feedback</t>
  </si>
  <si>
    <t>Graphical Spreadsheet Simulation of Queues</t>
  </si>
  <si>
    <t>http://www.bus.ualberta.ca/aingolfsson/simulation/</t>
  </si>
  <si>
    <t>same number of rows on both the Computations and Spreadsheet Worksheets!).  The queueing graphs should</t>
  </si>
  <si>
    <t>be updated automatically.</t>
  </si>
  <si>
    <t>The spreadsheet queueing engines or the queueing graphs may periodically be updated and improved.</t>
  </si>
  <si>
    <t xml:space="preserve">Updates can be found at </t>
  </si>
  <si>
    <t>Original programming of the spreadsheet queueing engines by Rebecca Tsang and Tom Grossman.</t>
  </si>
  <si>
    <t>Larry Leblanc suggested improvements to the simulation of balking.</t>
  </si>
  <si>
    <t>Programming of the queueing graphs by Michael Thomas and Armann Ingolfsson.</t>
  </si>
  <si>
    <t>Research partially supported by Canadian Natural Sciences and Engineering Research Council Grant RGPIN203534.</t>
  </si>
  <si>
    <t>Copyright 2001, A. Ingolfsson and T.A. Grossman, Jr. All rights reserved except as described below.</t>
  </si>
  <si>
    <t>... on the spreadsheet queueing simulation engines can be e-mailed to armann.ingolfsson@ualberta.ca</t>
  </si>
  <si>
    <t>or grossman@ucalgary.ca</t>
  </si>
  <si>
    <t>References</t>
  </si>
  <si>
    <t>1. Thomas A. Grossman, Jr. (1999), "Teachers' Forum: Spreadsheet Modeling and Simulation Improves Understanding of Queues,"</t>
  </si>
  <si>
    <t>Interfaces 29:3, pp. 88 - 103</t>
  </si>
  <si>
    <t>2. Armann Ingolfsson and Thomas A. Grossman, Jr. (2001), "Graphical Spreadheet Simulation of Queues," INFORMS Transactions</t>
  </si>
  <si>
    <r>
      <t xml:space="preserve">on Education ( http://ite.informs.org/ ), </t>
    </r>
    <r>
      <rPr>
        <sz val="10"/>
        <rFont val="Arial"/>
        <family val="2"/>
      </rPr>
      <t>2:2</t>
    </r>
  </si>
  <si>
    <t>This copyright sheet updated September 12, 2001.</t>
  </si>
  <si>
    <t>(with Departures)</t>
  </si>
  <si>
    <t>Aggregate</t>
  </si>
  <si>
    <t>Time of Change in Server Activity</t>
  </si>
  <si>
    <t>Server 1</t>
  </si>
  <si>
    <t>Server 2</t>
  </si>
  <si>
    <t>Server 3</t>
  </si>
  <si>
    <t>Server 4</t>
  </si>
  <si>
    <t>Server 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</si>
</sst>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"/>
    <numFmt numFmtId="174" formatCode="0.00000"/>
    <numFmt numFmtId="175" formatCode="0.000000"/>
  </numFmts>
  <fonts count="10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sz val="16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" xfId="0" applyFont="1" applyBorder="1" applyAlignment="1" applyProtection="1">
      <alignment horizontal="centerContinuous" vertical="center"/>
      <protection locked="0"/>
    </xf>
    <xf numFmtId="0" fontId="6" fillId="0" borderId="1" xfId="0" applyFont="1" applyBorder="1" applyAlignment="1" applyProtection="1">
      <alignment horizontal="centerContinuous"/>
      <protection locked="0"/>
    </xf>
    <xf numFmtId="20" fontId="6" fillId="0" borderId="1" xfId="0" applyNumberFormat="1" applyFont="1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20" fontId="0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  <xf numFmtId="20" fontId="2" fillId="0" borderId="0" xfId="0" applyNumberFormat="1" applyFont="1" applyAlignment="1" applyProtection="1">
      <alignment/>
      <protection locked="0"/>
    </xf>
    <xf numFmtId="20" fontId="0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NumberFormat="1" applyFont="1" applyFill="1" applyBorder="1" applyAlignment="1" applyProtection="1">
      <alignment horizontal="center"/>
      <protection locked="0"/>
    </xf>
    <xf numFmtId="20" fontId="2" fillId="0" borderId="0" xfId="0" applyNumberFormat="1" applyFont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Continuous"/>
      <protection locked="0"/>
    </xf>
    <xf numFmtId="0" fontId="0" fillId="0" borderId="0" xfId="0" applyFont="1" applyAlignment="1" applyProtection="1">
      <alignment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Alignment="1" applyProtection="1">
      <alignment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0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8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9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3" borderId="0" xfId="0" applyFont="1" applyFill="1" applyBorder="1" applyAlignment="1" applyProtection="1">
      <alignment horizontal="center"/>
      <protection/>
    </xf>
    <xf numFmtId="0" fontId="0" fillId="3" borderId="1" xfId="0" applyFont="1" applyFill="1" applyBorder="1" applyAlignment="1" applyProtection="1">
      <alignment horizontal="center"/>
      <protection/>
    </xf>
    <xf numFmtId="0" fontId="0" fillId="0" borderId="0" xfId="0" applyNumberForma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20" fontId="1" fillId="0" borderId="0" xfId="0" applyNumberFormat="1" applyFont="1" applyAlignment="1" applyProtection="1">
      <alignment horizontal="center"/>
      <protection locked="0"/>
    </xf>
    <xf numFmtId="20" fontId="3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3" fillId="3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20" fontId="2" fillId="0" borderId="0" xfId="0" applyNumberFormat="1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20" fontId="2" fillId="0" borderId="1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3" borderId="0" xfId="0" applyNumberFormat="1" applyFont="1" applyFill="1" applyAlignment="1" applyProtection="1">
      <alignment horizontal="center"/>
      <protection locked="0"/>
    </xf>
    <xf numFmtId="0" fontId="1" fillId="3" borderId="0" xfId="0" applyNumberFormat="1" applyFont="1" applyFill="1" applyAlignment="1" applyProtection="1">
      <alignment horizontal="center"/>
      <protection locked="0"/>
    </xf>
    <xf numFmtId="0" fontId="1" fillId="3" borderId="0" xfId="0" applyNumberFormat="1" applyFont="1" applyFill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175" fontId="1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20" fontId="4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4" fillId="3" borderId="0" xfId="0" applyNumberFormat="1" applyFont="1" applyFill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20" fontId="0" fillId="0" borderId="0" xfId="0" applyNumberForma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20" fontId="2" fillId="0" borderId="0" xfId="0" applyNumberFormat="1" applyFont="1" applyBorder="1" applyAlignment="1" applyProtection="1">
      <alignment horizontal="centerContinuous"/>
      <protection locked="0"/>
    </xf>
    <xf numFmtId="20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" xfId="0" applyNumberFormat="1" applyFont="1" applyBorder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20" fontId="0" fillId="0" borderId="0" xfId="0" applyNumberFormat="1" applyFont="1" applyAlignment="1" applyProtection="1">
      <alignment horizontal="center"/>
      <protection locked="0"/>
    </xf>
    <xf numFmtId="20" fontId="0" fillId="0" borderId="0" xfId="0" applyNumberFormat="1" applyFont="1" applyAlignment="1" applyProtection="1">
      <alignment/>
      <protection locked="0"/>
    </xf>
    <xf numFmtId="20" fontId="5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NumberFormat="1" applyFont="1" applyAlignment="1" applyProtection="1">
      <alignment horizontal="center"/>
      <protection/>
    </xf>
    <xf numFmtId="20" fontId="0" fillId="0" borderId="0" xfId="0" applyNumberFormat="1" applyFont="1" applyAlignment="1" applyProtection="1">
      <alignment horizontal="center"/>
      <protection/>
    </xf>
    <xf numFmtId="20" fontId="1" fillId="0" borderId="0" xfId="0" applyNumberFormat="1" applyFont="1" applyAlignment="1" applyProtection="1">
      <alignment horizontal="center"/>
      <protection/>
    </xf>
    <xf numFmtId="20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/>
    </xf>
    <xf numFmtId="20" fontId="0" fillId="0" borderId="0" xfId="0" applyNumberForma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20" fontId="1" fillId="0" borderId="0" xfId="0" applyNumberFormat="1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Customer Graph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v/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Computations!$F$12:$F$26</c:f>
              <c:numCache>
                <c:ptCount val="15"/>
                <c:pt idx="0">
                  <c:v>0.37569444444444444</c:v>
                </c:pt>
                <c:pt idx="1">
                  <c:v>0.3763888888888889</c:v>
                </c:pt>
                <c:pt idx="2">
                  <c:v>0.3770833333333333</c:v>
                </c:pt>
                <c:pt idx="3">
                  <c:v>0.37777777777777777</c:v>
                </c:pt>
                <c:pt idx="4">
                  <c:v>0.37916666666666665</c:v>
                </c:pt>
                <c:pt idx="5">
                  <c:v>0.3798611111111111</c:v>
                </c:pt>
                <c:pt idx="6">
                  <c:v>0.38055555555555554</c:v>
                </c:pt>
                <c:pt idx="7">
                  <c:v>0.3819444444444444</c:v>
                </c:pt>
                <c:pt idx="8">
                  <c:v>0.3833333333333333</c:v>
                </c:pt>
                <c:pt idx="9">
                  <c:v>0.38402777777777775</c:v>
                </c:pt>
                <c:pt idx="10">
                  <c:v>0.38541666666666663</c:v>
                </c:pt>
                <c:pt idx="11">
                  <c:v>0.38611111111111107</c:v>
                </c:pt>
                <c:pt idx="12">
                  <c:v>0.3868055555555555</c:v>
                </c:pt>
                <c:pt idx="13">
                  <c:v>0.38749999999999996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v>Time in Queue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Computations!$U$12:$U$26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0.001388888888888884</c:v>
                </c:pt>
                <c:pt idx="6">
                  <c:v>0</c:v>
                </c:pt>
                <c:pt idx="7">
                  <c:v>0.000694444444444442</c:v>
                </c:pt>
                <c:pt idx="8">
                  <c:v>0.000694444444444442</c:v>
                </c:pt>
                <c:pt idx="9">
                  <c:v>0.000694444444444442</c:v>
                </c:pt>
                <c:pt idx="10">
                  <c:v>0.001388888888888884</c:v>
                </c:pt>
                <c:pt idx="11">
                  <c:v>0</c:v>
                </c:pt>
                <c:pt idx="12">
                  <c:v>0.001388888888888884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v>Service Time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Computations!$T$12:$T$26</c:f>
              <c:numCache>
                <c:ptCount val="15"/>
                <c:pt idx="0">
                  <c:v>0.006944444444444444</c:v>
                </c:pt>
                <c:pt idx="1">
                  <c:v>0.013888888888888888</c:v>
                </c:pt>
                <c:pt idx="2">
                  <c:v>0.006944444444444444</c:v>
                </c:pt>
                <c:pt idx="3">
                  <c:v>0.006944444444444444</c:v>
                </c:pt>
                <c:pt idx="4">
                  <c:v>0.010416666666666666</c:v>
                </c:pt>
                <c:pt idx="5">
                  <c:v>0</c:v>
                </c:pt>
                <c:pt idx="6">
                  <c:v>0</c:v>
                </c:pt>
                <c:pt idx="7">
                  <c:v>0.013888888888888888</c:v>
                </c:pt>
                <c:pt idx="8">
                  <c:v>0.013888888888888888</c:v>
                </c:pt>
                <c:pt idx="9">
                  <c:v>0.013888888888888888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0.006944444444444444</c:v>
                </c:pt>
              </c:numCache>
            </c:numRef>
          </c:val>
        </c:ser>
        <c:overlap val="100"/>
        <c:gapWidth val="0"/>
        <c:axId val="4145394"/>
        <c:axId val="53107563"/>
      </c:barChart>
      <c:catAx>
        <c:axId val="41453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Customer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107563"/>
        <c:crosses val="autoZero"/>
        <c:auto val="1"/>
        <c:lblOffset val="100"/>
        <c:noMultiLvlLbl val="0"/>
      </c:catAx>
      <c:valAx>
        <c:axId val="53107563"/>
        <c:scaling>
          <c:orientation val="minMax"/>
          <c:max val="0.3888888888888889"/>
          <c:min val="0.3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45394"/>
        <c:crossesAt val="1"/>
        <c:crossBetween val="between"/>
        <c:dispUnits/>
        <c:majorUnit val="0.003472222222222222"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Server Graph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29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Computations!$W$11:$AA$11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Computations!$W$41:$AA$41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28"/>
          <c:order val="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Computations!$W$11:$AA$11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Computations!$W$40:$AA$40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27"/>
          <c:order val="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Computations!$W$11:$AA$11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Computations!$W$39:$AA$39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26"/>
          <c:order val="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Computations!$W$11:$AA$11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Computations!$W$38:$AA$38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25"/>
          <c:order val="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Computations!$W$11:$AA$11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Computations!$W$37:$AA$37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24"/>
          <c:order val="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Computations!$W$11:$AA$11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Computations!$W$36:$AA$36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23"/>
          <c:order val="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Computations!$W$11:$AA$11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Computations!$W$35:$AA$35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22"/>
          <c:order val="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Computations!$W$11:$AA$11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Computations!$W$34:$AA$34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21"/>
          <c:order val="8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Computations!$W$11:$AA$11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Computations!$W$33:$AA$33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20"/>
          <c:order val="9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Computations!$W$11:$AA$11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Computations!$W$32:$AA$32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9"/>
          <c:order val="1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Computations!$W$11:$AA$11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Computations!$W$31:$AA$31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8"/>
          <c:order val="1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Computations!$W$11:$AA$11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Computations!$W$30:$AA$30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7"/>
          <c:order val="1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Computations!$W$11:$AA$11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Computations!$W$29:$AA$29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6"/>
          <c:order val="1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Computations!$W$11:$AA$11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Computations!$W$28:$AA$28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5"/>
          <c:order val="1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Computations!$W$11:$AA$11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Computations!$W$27:$AA$27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4"/>
          <c:order val="1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Computations!$W$11:$AA$11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Computations!$W$26:$AA$26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3"/>
          <c:order val="1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Computations!$W$11:$AA$11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Computations!$W$25:$AA$25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2"/>
          <c:order val="1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Computations!$W$11:$AA$11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Computations!$W$24:$AA$24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1"/>
          <c:order val="18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Computations!$W$11:$AA$11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Computations!$W$23:$AA$23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0"/>
          <c:order val="19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Computations!$W$11:$AA$11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Computations!$W$22:$AA$22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9"/>
          <c:order val="2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Computations!$W$11:$AA$11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Computations!$W$21:$AA$21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8"/>
          <c:order val="2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Computations!$W$11:$AA$11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Computations!$W$20:$AA$20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7"/>
          <c:order val="2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Computations!$W$11:$AA$11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Computations!$W$19:$AA$19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6"/>
          <c:order val="2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Computations!$W$11:$AA$11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Computations!$W$18:$AA$18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5"/>
          <c:order val="2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Computations!$W$11:$AA$11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Computations!$W$17:$AA$17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4"/>
          <c:order val="2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Computations!$W$11:$AA$11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Computations!$W$16:$AA$16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3"/>
          <c:order val="2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Computations!$W$11:$AA$11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Computations!$W$15:$AA$15</c:f>
              <c:numCache>
                <c:ptCount val="5"/>
                <c:pt idx="0">
                  <c:v>0.39652777777777776</c:v>
                </c:pt>
                <c:pt idx="1">
                  <c:v>1</c:v>
                </c:pt>
                <c:pt idx="2">
                  <c:v>0.39791666666666664</c:v>
                </c:pt>
                <c:pt idx="3">
                  <c:v>0.3986111111111111</c:v>
                </c:pt>
                <c:pt idx="4">
                  <c:v>1</c:v>
                </c:pt>
              </c:numCache>
            </c:numRef>
          </c:val>
        </c:ser>
        <c:ser>
          <c:idx val="2"/>
          <c:order val="2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Computations!$W$11:$AA$11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Computations!$W$14:$AA$14</c:f>
              <c:numCache>
                <c:ptCount val="5"/>
                <c:pt idx="0">
                  <c:v>0.38263888888888886</c:v>
                </c:pt>
                <c:pt idx="1">
                  <c:v>1</c:v>
                </c:pt>
                <c:pt idx="2">
                  <c:v>0.38402777777777775</c:v>
                </c:pt>
                <c:pt idx="3">
                  <c:v>0.3847222222222222</c:v>
                </c:pt>
                <c:pt idx="4">
                  <c:v>1</c:v>
                </c:pt>
              </c:numCache>
            </c:numRef>
          </c:val>
        </c:ser>
        <c:ser>
          <c:idx val="1"/>
          <c:order val="28"/>
          <c:tx>
            <c:v>Busy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Computations!$W$11:$AA$11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Computations!$W$13:$AA$13</c:f>
              <c:numCache>
                <c:ptCount val="5"/>
                <c:pt idx="0">
                  <c:v>0.38263888888888886</c:v>
                </c:pt>
                <c:pt idx="1">
                  <c:v>0.3902777777777778</c:v>
                </c:pt>
                <c:pt idx="2">
                  <c:v>0.38402777777777775</c:v>
                </c:pt>
                <c:pt idx="3">
                  <c:v>0.3847222222222222</c:v>
                </c:pt>
                <c:pt idx="4">
                  <c:v>0.38958333333333334</c:v>
                </c:pt>
              </c:numCache>
            </c:numRef>
          </c:val>
        </c:ser>
        <c:ser>
          <c:idx val="0"/>
          <c:order val="29"/>
          <c:tx>
            <c:v>Idle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Computations!$W$11:$AA$11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Computations!$W$12:$AA$12</c:f>
              <c:numCache>
                <c:ptCount val="5"/>
                <c:pt idx="0">
                  <c:v>0.37569444444444444</c:v>
                </c:pt>
                <c:pt idx="1">
                  <c:v>0.3763888888888889</c:v>
                </c:pt>
                <c:pt idx="2">
                  <c:v>0.3770833333333333</c:v>
                </c:pt>
                <c:pt idx="3">
                  <c:v>0.37777777777777777</c:v>
                </c:pt>
                <c:pt idx="4">
                  <c:v>0.37916666666666665</c:v>
                </c:pt>
              </c:numCache>
            </c:numRef>
          </c:val>
        </c:ser>
        <c:overlap val="100"/>
        <c:axId val="63724320"/>
        <c:axId val="36065953"/>
      </c:barChart>
      <c:catAx>
        <c:axId val="637243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065953"/>
        <c:crosses val="autoZero"/>
        <c:auto val="1"/>
        <c:lblOffset val="100"/>
        <c:noMultiLvlLbl val="0"/>
      </c:catAx>
      <c:valAx>
        <c:axId val="36065953"/>
        <c:scaling>
          <c:orientation val="minMax"/>
          <c:max val="0.3888888888888889"/>
          <c:min val="0.37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724320"/>
        <c:crossesAt val="1"/>
        <c:crossBetween val="between"/>
        <c:dispUnits/>
        <c:majorUnit val="0.003472222222222222"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25"/>
        <c:delete val="1"/>
      </c:legendEntry>
      <c:legendEntry>
        <c:idx val="26"/>
        <c:delete val="1"/>
      </c:legendEntry>
      <c:legendEntry>
        <c:idx val="27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104775</xdr:rowOff>
    </xdr:from>
    <xdr:to>
      <xdr:col>10</xdr:col>
      <xdr:colOff>95250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0" y="4486275"/>
        <a:ext cx="62198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76200</xdr:colOff>
      <xdr:row>27</xdr:row>
      <xdr:rowOff>104775</xdr:rowOff>
    </xdr:from>
    <xdr:to>
      <xdr:col>20</xdr:col>
      <xdr:colOff>66675</xdr:colOff>
      <xdr:row>50</xdr:row>
      <xdr:rowOff>152400</xdr:rowOff>
    </xdr:to>
    <xdr:graphicFrame>
      <xdr:nvGraphicFramePr>
        <xdr:cNvPr id="2" name="Chart 2"/>
        <xdr:cNvGraphicFramePr/>
      </xdr:nvGraphicFramePr>
      <xdr:xfrm>
        <a:off x="6200775" y="4486275"/>
        <a:ext cx="6219825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6"/>
  <sheetViews>
    <sheetView workbookViewId="0" topLeftCell="A1">
      <selection activeCell="D9" sqref="D9"/>
    </sheetView>
  </sheetViews>
  <sheetFormatPr defaultColWidth="9.140625" defaultRowHeight="12.75"/>
  <cols>
    <col min="1" max="1" width="10.7109375" style="13" customWidth="1"/>
    <col min="2" max="3" width="8.8515625" style="13" customWidth="1"/>
    <col min="4" max="4" width="12.140625" style="13" customWidth="1"/>
    <col min="5" max="5" width="10.00390625" style="13" customWidth="1"/>
    <col min="6" max="6" width="12.00390625" style="13" customWidth="1"/>
    <col min="7" max="7" width="11.7109375" style="13" customWidth="1"/>
    <col min="8" max="8" width="9.7109375" style="13" customWidth="1"/>
    <col min="9" max="9" width="9.57421875" style="13" customWidth="1"/>
    <col min="10" max="255" width="8.8515625" style="13" customWidth="1"/>
    <col min="256" max="16384" width="9.140625" style="13" customWidth="1"/>
  </cols>
  <sheetData>
    <row r="1" spans="1:10" s="10" customFormat="1" ht="21.75" customHeight="1" thickBot="1">
      <c r="A1" s="6" t="s">
        <v>0</v>
      </c>
      <c r="B1" s="7"/>
      <c r="C1" s="7"/>
      <c r="D1" s="8"/>
      <c r="E1" s="8"/>
      <c r="F1" s="8"/>
      <c r="G1" s="8"/>
      <c r="H1" s="7"/>
      <c r="I1" s="7"/>
      <c r="J1" s="9"/>
    </row>
    <row r="2" spans="1:7" ht="12.75">
      <c r="A2" s="11"/>
      <c r="B2" s="11"/>
      <c r="C2" s="11"/>
      <c r="D2" s="12"/>
      <c r="E2" s="12"/>
      <c r="F2" s="12"/>
      <c r="G2" s="12"/>
    </row>
    <row r="3" spans="1:8" ht="13.5" thickBot="1">
      <c r="A3" s="14" t="s">
        <v>1</v>
      </c>
      <c r="B3" s="11"/>
      <c r="C3" s="15" t="s">
        <v>2</v>
      </c>
      <c r="E3" s="16" t="s">
        <v>3</v>
      </c>
      <c r="F3" s="14"/>
      <c r="G3" s="12"/>
      <c r="H3" s="14" t="s">
        <v>4</v>
      </c>
    </row>
    <row r="4" spans="1:9" ht="13.5" thickBot="1">
      <c r="A4" s="17">
        <v>0.375</v>
      </c>
      <c r="B4" s="11"/>
      <c r="C4" s="17">
        <v>0.3888888888888889</v>
      </c>
      <c r="E4" s="18">
        <v>1</v>
      </c>
      <c r="F4" s="19"/>
      <c r="H4" s="20">
        <v>2</v>
      </c>
      <c r="I4" s="14" t="s">
        <v>5</v>
      </c>
    </row>
    <row r="6" ht="12.75">
      <c r="I6" s="21"/>
    </row>
    <row r="7" spans="1:9" ht="13.5" thickBot="1">
      <c r="A7" s="22" t="s">
        <v>6</v>
      </c>
      <c r="B7" s="22"/>
      <c r="C7" s="22"/>
      <c r="D7" s="22"/>
      <c r="E7" s="23"/>
      <c r="F7" s="24" t="s">
        <v>7</v>
      </c>
      <c r="G7" s="22"/>
      <c r="H7" s="22"/>
      <c r="I7" s="22"/>
    </row>
    <row r="8" spans="1:9" ht="12.75">
      <c r="A8" s="25"/>
      <c r="B8" s="26" t="s">
        <v>8</v>
      </c>
      <c r="C8" s="26" t="s">
        <v>9</v>
      </c>
      <c r="D8" s="27" t="s">
        <v>10</v>
      </c>
      <c r="E8" s="23"/>
      <c r="F8" s="25"/>
      <c r="G8" s="26" t="s">
        <v>8</v>
      </c>
      <c r="H8" s="26" t="s">
        <v>9</v>
      </c>
      <c r="I8" s="27" t="s">
        <v>11</v>
      </c>
    </row>
    <row r="9" spans="1:9" ht="12.75">
      <c r="A9" s="28" t="s">
        <v>12</v>
      </c>
      <c r="B9" s="29" t="s">
        <v>13</v>
      </c>
      <c r="C9" s="29" t="s">
        <v>13</v>
      </c>
      <c r="D9" s="30" t="s">
        <v>14</v>
      </c>
      <c r="E9" s="23"/>
      <c r="F9" s="28" t="s">
        <v>12</v>
      </c>
      <c r="G9" s="29" t="s">
        <v>13</v>
      </c>
      <c r="H9" s="29" t="s">
        <v>13</v>
      </c>
      <c r="I9" s="30" t="s">
        <v>14</v>
      </c>
    </row>
    <row r="10" spans="1:9" ht="13.5" thickBot="1">
      <c r="A10" s="31"/>
      <c r="B10" s="32"/>
      <c r="C10" s="32"/>
      <c r="D10" s="33" t="s">
        <v>15</v>
      </c>
      <c r="E10" s="23"/>
      <c r="F10" s="34"/>
      <c r="G10" s="32"/>
      <c r="H10" s="32"/>
      <c r="I10" s="33" t="s">
        <v>15</v>
      </c>
    </row>
    <row r="11" spans="1:9" ht="12.75">
      <c r="A11" s="35">
        <v>0.45</v>
      </c>
      <c r="B11" s="36">
        <v>0</v>
      </c>
      <c r="C11" s="46">
        <f>B11+A11</f>
        <v>0.45</v>
      </c>
      <c r="D11" s="37">
        <v>1</v>
      </c>
      <c r="E11" s="23"/>
      <c r="F11" s="35">
        <v>0.3</v>
      </c>
      <c r="G11" s="36">
        <v>0</v>
      </c>
      <c r="H11" s="46">
        <f>G11+F11</f>
        <v>0.3</v>
      </c>
      <c r="I11" s="37">
        <v>10</v>
      </c>
    </row>
    <row r="12" spans="1:9" ht="12.75">
      <c r="A12" s="35">
        <v>0.25</v>
      </c>
      <c r="B12" s="36">
        <f>C11</f>
        <v>0.45</v>
      </c>
      <c r="C12" s="46">
        <f>B12+A12</f>
        <v>0.7</v>
      </c>
      <c r="D12" s="37">
        <v>2</v>
      </c>
      <c r="E12" s="23"/>
      <c r="F12" s="35">
        <v>0.35</v>
      </c>
      <c r="G12" s="36">
        <f>H11</f>
        <v>0.3</v>
      </c>
      <c r="H12" s="46">
        <f>G12+F12</f>
        <v>0.6499999999999999</v>
      </c>
      <c r="I12" s="37">
        <v>15</v>
      </c>
    </row>
    <row r="13" spans="1:9" ht="13.5" thickBot="1">
      <c r="A13" s="35">
        <v>0.1</v>
      </c>
      <c r="B13" s="36">
        <f>C12</f>
        <v>0.7</v>
      </c>
      <c r="C13" s="46">
        <f>B13+A13</f>
        <v>0.7999999999999999</v>
      </c>
      <c r="D13" s="37">
        <v>3</v>
      </c>
      <c r="E13" s="23"/>
      <c r="F13" s="38">
        <v>0.35</v>
      </c>
      <c r="G13" s="39">
        <f>H12</f>
        <v>0.6499999999999999</v>
      </c>
      <c r="H13" s="47">
        <f>G13+F13</f>
        <v>0.9999999999999999</v>
      </c>
      <c r="I13" s="40">
        <v>20</v>
      </c>
    </row>
    <row r="14" spans="1:9" ht="13.5" thickBot="1">
      <c r="A14" s="38">
        <v>0.2</v>
      </c>
      <c r="B14" s="39">
        <f>C13</f>
        <v>0.7999999999999999</v>
      </c>
      <c r="C14" s="47">
        <f>B14+A14</f>
        <v>1</v>
      </c>
      <c r="D14" s="40">
        <v>4</v>
      </c>
      <c r="E14" s="23"/>
      <c r="F14" s="41"/>
      <c r="G14" s="41"/>
      <c r="H14" s="41"/>
      <c r="I14" s="41"/>
    </row>
    <row r="15" spans="1:9" ht="12.75">
      <c r="A15" s="41"/>
      <c r="B15" s="41"/>
      <c r="C15" s="42"/>
      <c r="D15" s="41"/>
      <c r="E15" s="23"/>
      <c r="F15" s="41"/>
      <c r="G15" s="41"/>
      <c r="H15" s="41"/>
      <c r="I15" s="41"/>
    </row>
    <row r="16" spans="1:9" ht="12.75">
      <c r="A16" s="41"/>
      <c r="B16" s="41"/>
      <c r="C16" s="42"/>
      <c r="D16" s="41"/>
      <c r="E16" s="23"/>
      <c r="F16" s="41"/>
      <c r="G16" s="41"/>
      <c r="H16" s="41"/>
      <c r="I16" s="41"/>
    </row>
    <row r="17" spans="1:9" ht="12.75">
      <c r="A17" s="41"/>
      <c r="B17" s="41"/>
      <c r="C17" s="42"/>
      <c r="D17" s="41"/>
      <c r="E17" s="23"/>
      <c r="F17" s="41"/>
      <c r="G17" s="41"/>
      <c r="H17" s="41"/>
      <c r="I17" s="41"/>
    </row>
    <row r="18" spans="1:9" ht="12.75">
      <c r="A18" s="41"/>
      <c r="B18" s="41"/>
      <c r="C18" s="42"/>
      <c r="D18" s="41"/>
      <c r="E18" s="23"/>
      <c r="F18" s="41"/>
      <c r="G18" s="41"/>
      <c r="H18" s="41"/>
      <c r="I18" s="41"/>
    </row>
    <row r="19" spans="1:9" ht="12.75">
      <c r="A19" s="41"/>
      <c r="B19" s="41"/>
      <c r="C19" s="42"/>
      <c r="D19" s="41"/>
      <c r="E19" s="23"/>
      <c r="F19" s="41"/>
      <c r="G19" s="41"/>
      <c r="H19" s="41"/>
      <c r="I19" s="41"/>
    </row>
    <row r="20" spans="1:9" ht="12.75">
      <c r="A20" s="41"/>
      <c r="B20" s="41"/>
      <c r="C20" s="42"/>
      <c r="D20" s="41"/>
      <c r="F20" s="41"/>
      <c r="G20" s="41"/>
      <c r="H20" s="41"/>
      <c r="I20" s="41"/>
    </row>
    <row r="21" spans="1:5" ht="12.75">
      <c r="A21" s="43"/>
      <c r="B21" s="43"/>
      <c r="E21" s="44"/>
    </row>
    <row r="22" spans="1:7" ht="12.75">
      <c r="A22" s="43"/>
      <c r="B22" s="43"/>
      <c r="E22" s="44"/>
      <c r="G22" s="45"/>
    </row>
    <row r="23" spans="1:2" ht="12.75">
      <c r="A23" s="43"/>
      <c r="B23" s="43"/>
    </row>
    <row r="24" spans="1:2" ht="12.75">
      <c r="A24" s="43"/>
      <c r="B24" s="43"/>
    </row>
    <row r="25" spans="1:2" ht="12.75">
      <c r="A25" s="43"/>
      <c r="B25" s="43"/>
    </row>
    <row r="26" spans="1:2" ht="12.75">
      <c r="A26" s="43"/>
      <c r="B26" s="43"/>
    </row>
  </sheetData>
  <sheetProtection sheet="1" objects="1" scenarios="1"/>
  <printOptions/>
  <pageMargins left="0.75" right="0.75" top="1" bottom="1" header="0.5" footer="0.5"/>
  <pageSetup horizontalDpi="360" verticalDpi="3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E35"/>
  <sheetViews>
    <sheetView tabSelected="1" zoomScale="75" zoomScaleNormal="75" workbookViewId="0" topLeftCell="A6">
      <selection activeCell="B27" sqref="B27"/>
    </sheetView>
  </sheetViews>
  <sheetFormatPr defaultColWidth="9.140625" defaultRowHeight="12.75"/>
  <cols>
    <col min="1" max="1" width="6.57421875" style="11" customWidth="1"/>
    <col min="2" max="2" width="12.140625" style="78" customWidth="1"/>
    <col min="3" max="3" width="9.140625" style="11" customWidth="1"/>
    <col min="4" max="4" width="10.57421875" style="78" customWidth="1"/>
    <col min="5" max="5" width="7.140625" style="11" customWidth="1"/>
    <col min="6" max="6" width="10.00390625" style="11" customWidth="1"/>
    <col min="7" max="7" width="9.140625" style="12" customWidth="1"/>
    <col min="8" max="8" width="8.8515625" style="12" customWidth="1"/>
    <col min="9" max="11" width="9.140625" style="12" customWidth="1"/>
    <col min="12" max="18" width="9.140625" style="11" customWidth="1"/>
    <col min="19" max="19" width="11.140625" style="65" customWidth="1"/>
    <col min="20" max="21" width="9.140625" style="11" customWidth="1"/>
    <col min="22" max="22" width="7.421875" style="11" customWidth="1"/>
    <col min="23" max="27" width="7.7109375" style="11" customWidth="1"/>
    <col min="28" max="28" width="9.140625" style="78" customWidth="1"/>
    <col min="29" max="29" width="9.140625" style="12" customWidth="1"/>
    <col min="30" max="16384" width="9.140625" style="11" customWidth="1"/>
  </cols>
  <sheetData>
    <row r="1" spans="1:29" ht="12.75">
      <c r="A1" s="13"/>
      <c r="B1" s="76"/>
      <c r="C1" s="13"/>
      <c r="D1" s="76"/>
      <c r="E1" s="13"/>
      <c r="F1" s="13"/>
      <c r="G1" s="77"/>
      <c r="H1" s="13"/>
      <c r="I1" s="13"/>
      <c r="J1" s="13"/>
      <c r="K1" s="13"/>
      <c r="AB1" s="11"/>
      <c r="AC1" s="11"/>
    </row>
    <row r="2" spans="1:29" ht="12.75">
      <c r="A2" s="13"/>
      <c r="B2" s="76"/>
      <c r="C2" s="13"/>
      <c r="D2" s="76"/>
      <c r="E2" s="13"/>
      <c r="F2" s="13"/>
      <c r="G2" s="77"/>
      <c r="H2" s="13"/>
      <c r="I2" s="13"/>
      <c r="J2" s="13"/>
      <c r="K2" s="13"/>
      <c r="AB2" s="11"/>
      <c r="AC2" s="11"/>
    </row>
    <row r="3" spans="1:29" ht="12.75">
      <c r="A3" s="13"/>
      <c r="B3" s="76"/>
      <c r="C3" s="13"/>
      <c r="D3" s="76"/>
      <c r="E3" s="13"/>
      <c r="F3" s="13"/>
      <c r="G3" s="77"/>
      <c r="H3" s="13"/>
      <c r="I3" s="13"/>
      <c r="J3" s="13"/>
      <c r="K3" s="13"/>
      <c r="AB3" s="11"/>
      <c r="AC3" s="11"/>
    </row>
    <row r="4" spans="1:29" ht="12.75">
      <c r="A4" s="13"/>
      <c r="B4" s="76"/>
      <c r="C4" s="13"/>
      <c r="D4" s="76"/>
      <c r="E4" s="13"/>
      <c r="F4" s="13"/>
      <c r="G4" s="77"/>
      <c r="H4" s="13"/>
      <c r="I4" s="13"/>
      <c r="J4" s="13"/>
      <c r="K4" s="13"/>
      <c r="AB4" s="11"/>
      <c r="AC4" s="11"/>
    </row>
    <row r="6" ht="12.75">
      <c r="D6" s="79" t="s">
        <v>16</v>
      </c>
    </row>
    <row r="7" spans="1:21" s="59" customFormat="1" ht="12.75">
      <c r="A7" s="59" t="s">
        <v>17</v>
      </c>
      <c r="B7" s="79" t="s">
        <v>10</v>
      </c>
      <c r="C7" s="59" t="s">
        <v>18</v>
      </c>
      <c r="D7" s="79" t="s">
        <v>19</v>
      </c>
      <c r="G7" s="60" t="s">
        <v>20</v>
      </c>
      <c r="H7" s="59" t="s">
        <v>11</v>
      </c>
      <c r="I7" s="80" t="s">
        <v>21</v>
      </c>
      <c r="J7" s="80"/>
      <c r="K7" s="80" t="s">
        <v>22</v>
      </c>
      <c r="L7" s="80"/>
      <c r="M7" s="80" t="s">
        <v>23</v>
      </c>
      <c r="N7" s="80"/>
      <c r="O7" s="80" t="s">
        <v>24</v>
      </c>
      <c r="P7" s="80"/>
      <c r="Q7" s="80" t="s">
        <v>25</v>
      </c>
      <c r="R7" s="80"/>
      <c r="S7" s="81" t="s">
        <v>20</v>
      </c>
      <c r="T7" s="59" t="s">
        <v>26</v>
      </c>
      <c r="U7" s="59" t="s">
        <v>27</v>
      </c>
    </row>
    <row r="8" spans="1:21" s="59" customFormat="1" ht="12.75">
      <c r="A8" s="59" t="s">
        <v>28</v>
      </c>
      <c r="B8" s="79" t="s">
        <v>14</v>
      </c>
      <c r="C8" s="79" t="s">
        <v>14</v>
      </c>
      <c r="D8" s="79" t="s">
        <v>29</v>
      </c>
      <c r="E8" s="59" t="s">
        <v>30</v>
      </c>
      <c r="F8" s="59" t="s">
        <v>31</v>
      </c>
      <c r="G8" s="60" t="s">
        <v>32</v>
      </c>
      <c r="H8" s="59" t="s">
        <v>14</v>
      </c>
      <c r="I8" s="81" t="s">
        <v>33</v>
      </c>
      <c r="J8" s="81" t="s">
        <v>34</v>
      </c>
      <c r="K8" s="81" t="s">
        <v>33</v>
      </c>
      <c r="L8" s="81" t="s">
        <v>34</v>
      </c>
      <c r="M8" s="81" t="s">
        <v>33</v>
      </c>
      <c r="N8" s="81" t="s">
        <v>34</v>
      </c>
      <c r="O8" s="81" t="s">
        <v>33</v>
      </c>
      <c r="P8" s="81" t="s">
        <v>34</v>
      </c>
      <c r="Q8" s="81" t="s">
        <v>33</v>
      </c>
      <c r="R8" s="81" t="s">
        <v>34</v>
      </c>
      <c r="S8" s="81" t="s">
        <v>35</v>
      </c>
      <c r="T8" s="82" t="s">
        <v>14</v>
      </c>
      <c r="U8" s="82" t="s">
        <v>14</v>
      </c>
    </row>
    <row r="9" spans="1:21" s="59" customFormat="1" ht="13.5" thickBot="1">
      <c r="A9" s="61"/>
      <c r="B9" s="83" t="s">
        <v>15</v>
      </c>
      <c r="C9" s="61" t="s">
        <v>36</v>
      </c>
      <c r="D9" s="83" t="s">
        <v>37</v>
      </c>
      <c r="E9" s="61"/>
      <c r="F9" s="61"/>
      <c r="G9" s="64" t="s">
        <v>36</v>
      </c>
      <c r="H9" s="61" t="s">
        <v>15</v>
      </c>
      <c r="I9" s="61" t="s">
        <v>36</v>
      </c>
      <c r="J9" s="61" t="s">
        <v>36</v>
      </c>
      <c r="K9" s="61" t="s">
        <v>36</v>
      </c>
      <c r="L9" s="61" t="s">
        <v>36</v>
      </c>
      <c r="M9" s="61" t="s">
        <v>36</v>
      </c>
      <c r="N9" s="61" t="s">
        <v>36</v>
      </c>
      <c r="O9" s="61" t="s">
        <v>36</v>
      </c>
      <c r="P9" s="61" t="s">
        <v>36</v>
      </c>
      <c r="Q9" s="61" t="s">
        <v>36</v>
      </c>
      <c r="R9" s="61" t="s">
        <v>36</v>
      </c>
      <c r="S9" s="61" t="s">
        <v>36</v>
      </c>
      <c r="T9" s="61" t="s">
        <v>36</v>
      </c>
      <c r="U9" s="61" t="s">
        <v>36</v>
      </c>
    </row>
    <row r="10" spans="2:19" s="65" customFormat="1" ht="12.75">
      <c r="B10" s="84"/>
      <c r="D10" s="84"/>
      <c r="G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</row>
    <row r="11" spans="1:21" s="65" customFormat="1" ht="12.75">
      <c r="A11" s="88" t="s">
        <v>38</v>
      </c>
      <c r="B11" s="89"/>
      <c r="C11" s="90">
        <f>Computations!F11</f>
        <v>0.375</v>
      </c>
      <c r="D11" s="89"/>
      <c r="E11" s="88"/>
      <c r="F11" s="88"/>
      <c r="G11" s="90"/>
      <c r="H11" s="88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88"/>
      <c r="U11" s="88"/>
    </row>
    <row r="12" spans="1:21" s="65" customFormat="1" ht="12.75">
      <c r="A12" s="88">
        <f>Computations!A12</f>
        <v>1</v>
      </c>
      <c r="B12" s="89">
        <f>IF(ISTEXT(C12),"",Computations!B12)</f>
        <v>1</v>
      </c>
      <c r="C12" s="90">
        <f>IF(Computations!F12="closed",Computations!F11+Computations!C12,Computations!F12)</f>
        <v>0.37569444444444444</v>
      </c>
      <c r="D12" s="89">
        <f>IF(ISTEXT(A12),"",Computations!G12)</f>
        <v>0</v>
      </c>
      <c r="E12" s="88">
        <f>Computations!H12</f>
      </c>
      <c r="F12" s="88">
        <f>Computations!P12</f>
      </c>
      <c r="G12" s="90">
        <f>Computations!Q12</f>
      </c>
      <c r="H12" s="88">
        <f>IF(ISTEXT(Computations!R12),"",Computations!D12)</f>
        <v>10</v>
      </c>
      <c r="I12" s="90">
        <f>IF(Computations!$S12=1,Computations!R12,"")</f>
        <v>0.37569444444444444</v>
      </c>
      <c r="J12" s="90">
        <f>IF(ISTEXT($I12),"",$I12+Computations!$E12)</f>
        <v>0.38263888888888886</v>
      </c>
      <c r="K12" s="90">
        <f>IF(Computations!$S12=2,Computations!R12,"")</f>
      </c>
      <c r="L12" s="90">
        <f>IF(ISTEXT($K12),"",$K12+Computations!$E12)</f>
      </c>
      <c r="M12" s="90">
        <f>IF(Computations!$S12=3,Computations!R12,"")</f>
      </c>
      <c r="N12" s="90">
        <f>IF(ISTEXT($M12),"",$M12+Computations!$E12)</f>
      </c>
      <c r="O12" s="90">
        <f>IF(Computations!$S12=4,Computations!R12,"")</f>
      </c>
      <c r="P12" s="90">
        <f>IF(ISTEXT($O12),"",$O12+Computations!$E12)</f>
      </c>
      <c r="Q12" s="90">
        <f>IF(Computations!$S12=5,Computations!R12,"")</f>
      </c>
      <c r="R12" s="90">
        <f>IF(ISTEXT($Q12),"",$Q12+Computations!$E12)</f>
      </c>
      <c r="S12" s="90">
        <f>IF(F12="renege",G12-C12,"")</f>
      </c>
      <c r="T12" s="90">
        <f>IF(F12="renege","",Computations!O12)</f>
        <v>0</v>
      </c>
      <c r="U12" s="90">
        <f>IF(ISTEXT($T12),"",Computations!$E12+T12)</f>
        <v>0.006944444444444444</v>
      </c>
    </row>
    <row r="13" spans="1:21" s="65" customFormat="1" ht="12.75">
      <c r="A13" s="88">
        <f>Computations!A13</f>
        <v>2</v>
      </c>
      <c r="B13" s="89">
        <f>IF(ISTEXT(C13),"",Computations!B13)</f>
        <v>1</v>
      </c>
      <c r="C13" s="90">
        <f>IF(Computations!F13="closed",Computations!F12+Computations!C13,Computations!F13)</f>
        <v>0.3763888888888889</v>
      </c>
      <c r="D13" s="89">
        <f>IF(ISTEXT(A13),"",Computations!G13)</f>
        <v>0</v>
      </c>
      <c r="E13" s="88">
        <f>Computations!H13</f>
      </c>
      <c r="F13" s="88">
        <f>Computations!P13</f>
      </c>
      <c r="G13" s="90">
        <f>Computations!Q13</f>
      </c>
      <c r="H13" s="88">
        <f>IF(ISTEXT(Computations!R13),"",Computations!D13)</f>
        <v>20</v>
      </c>
      <c r="I13" s="90">
        <f>IF(Computations!$S13=1,Computations!R13,"")</f>
      </c>
      <c r="J13" s="90">
        <f>IF(ISTEXT($I13),"",$I13+Computations!$E13)</f>
      </c>
      <c r="K13" s="90">
        <f>IF(Computations!$S13=2,Computations!R13,"")</f>
        <v>0.3763888888888889</v>
      </c>
      <c r="L13" s="90">
        <f>IF(ISTEXT($K13),"",$K13+Computations!$E13)</f>
        <v>0.3902777777777778</v>
      </c>
      <c r="M13" s="90">
        <f>IF(Computations!$S13=3,Computations!R13,"")</f>
      </c>
      <c r="N13" s="90">
        <f>IF(ISTEXT($M13),"",$M13+Computations!$E13)</f>
      </c>
      <c r="O13" s="90">
        <f>IF(Computations!$S13=4,Computations!R13,"")</f>
      </c>
      <c r="P13" s="90">
        <f>IF(ISTEXT($O13),"",$O13+Computations!$E13)</f>
      </c>
      <c r="Q13" s="90">
        <f>IF(Computations!$S13=5,Computations!R13,"")</f>
      </c>
      <c r="R13" s="90">
        <f>IF(ISTEXT($Q13),"",$Q13+Computations!$E13)</f>
      </c>
      <c r="S13" s="90">
        <f aca="true" t="shared" si="0" ref="S13:S26">IF(F13="renege",G13-C13,"")</f>
      </c>
      <c r="T13" s="90">
        <f>IF(F13="renege","",Computations!O13)</f>
        <v>0</v>
      </c>
      <c r="U13" s="90">
        <f>IF(ISTEXT($T13),"",Computations!$E13+T13)</f>
        <v>0.013888888888888888</v>
      </c>
    </row>
    <row r="14" spans="1:21" s="65" customFormat="1" ht="12.75">
      <c r="A14" s="88">
        <f>Computations!A14</f>
        <v>3</v>
      </c>
      <c r="B14" s="89">
        <f>IF(ISTEXT(C14),"",Computations!B14)</f>
        <v>1</v>
      </c>
      <c r="C14" s="90">
        <f>IF(Computations!F14="closed",Computations!F13+Computations!C14,Computations!F14)</f>
        <v>0.3770833333333333</v>
      </c>
      <c r="D14" s="89">
        <f>IF(ISTEXT(A14),"",Computations!G14)</f>
        <v>0</v>
      </c>
      <c r="E14" s="88">
        <f>Computations!H14</f>
      </c>
      <c r="F14" s="88">
        <f>Computations!P14</f>
      </c>
      <c r="G14" s="90">
        <f>Computations!Q14</f>
      </c>
      <c r="H14" s="88">
        <f>IF(ISTEXT(Computations!R14),"",Computations!D14)</f>
        <v>10</v>
      </c>
      <c r="I14" s="90">
        <f>IF(Computations!$S14=1,Computations!R14,"")</f>
      </c>
      <c r="J14" s="90">
        <f>IF(ISTEXT($I14),"",$I14+Computations!$E14)</f>
      </c>
      <c r="K14" s="90">
        <f>IF(Computations!$S14=2,Computations!R14,"")</f>
      </c>
      <c r="L14" s="90">
        <f>IF(ISTEXT($K14),"",$K14+Computations!$E14)</f>
      </c>
      <c r="M14" s="90">
        <f>IF(Computations!$S14=3,Computations!R14,"")</f>
        <v>0.3770833333333333</v>
      </c>
      <c r="N14" s="90">
        <f>IF(ISTEXT($M14),"",$M14+Computations!$E14)</f>
        <v>0.38402777777777775</v>
      </c>
      <c r="O14" s="90">
        <f>IF(Computations!$S14=4,Computations!R14,"")</f>
      </c>
      <c r="P14" s="90">
        <f>IF(ISTEXT($O14),"",$O14+Computations!$E14)</f>
      </c>
      <c r="Q14" s="90">
        <f>IF(Computations!$S14=5,Computations!R14,"")</f>
      </c>
      <c r="R14" s="90">
        <f>IF(ISTEXT($Q14),"",$Q14+Computations!$E14)</f>
      </c>
      <c r="S14" s="90">
        <f t="shared" si="0"/>
      </c>
      <c r="T14" s="90">
        <f>IF(F14="renege","",Computations!O14)</f>
        <v>0</v>
      </c>
      <c r="U14" s="90">
        <f>IF(ISTEXT($T14),"",Computations!$E14+T14)</f>
        <v>0.006944444444444444</v>
      </c>
    </row>
    <row r="15" spans="1:21" s="65" customFormat="1" ht="12.75">
      <c r="A15" s="88">
        <f>Computations!A15</f>
        <v>4</v>
      </c>
      <c r="B15" s="89">
        <f>IF(ISTEXT(C15),"",Computations!B15)</f>
        <v>1</v>
      </c>
      <c r="C15" s="90">
        <f>IF(Computations!F15="closed",Computations!F14+Computations!C15,Computations!F15)</f>
        <v>0.37777777777777777</v>
      </c>
      <c r="D15" s="89">
        <f>IF(ISTEXT(A15),"",Computations!G15)</f>
        <v>0</v>
      </c>
      <c r="E15" s="88">
        <f>Computations!H15</f>
      </c>
      <c r="F15" s="88">
        <f>Computations!P15</f>
      </c>
      <c r="G15" s="90">
        <f>Computations!Q15</f>
      </c>
      <c r="H15" s="88">
        <f>IF(ISTEXT(Computations!R15),"",Computations!D15)</f>
        <v>10</v>
      </c>
      <c r="I15" s="90">
        <f>IF(Computations!$S15=1,Computations!R15,"")</f>
      </c>
      <c r="J15" s="90">
        <f>IF(ISTEXT($I15),"",$I15+Computations!$E15)</f>
      </c>
      <c r="K15" s="90">
        <f>IF(Computations!$S15=2,Computations!R15,"")</f>
      </c>
      <c r="L15" s="90">
        <f>IF(ISTEXT($K15),"",$K15+Computations!$E15)</f>
      </c>
      <c r="M15" s="90">
        <f>IF(Computations!$S15=3,Computations!R15,"")</f>
      </c>
      <c r="N15" s="90">
        <f>IF(ISTEXT($M15),"",$M15+Computations!$E15)</f>
      </c>
      <c r="O15" s="90">
        <f>IF(Computations!$S15=4,Computations!R15,"")</f>
        <v>0.37777777777777777</v>
      </c>
      <c r="P15" s="90">
        <f>IF(ISTEXT($O15),"",$O15+Computations!$E15)</f>
        <v>0.3847222222222222</v>
      </c>
      <c r="Q15" s="90">
        <f>IF(Computations!$S15=5,Computations!R15,"")</f>
      </c>
      <c r="R15" s="90">
        <f>IF(ISTEXT($Q15),"",$Q15+Computations!$E15)</f>
      </c>
      <c r="S15" s="90">
        <f t="shared" si="0"/>
      </c>
      <c r="T15" s="90">
        <f>IF(F15="renege","",Computations!O15)</f>
        <v>0</v>
      </c>
      <c r="U15" s="90">
        <f>IF(ISTEXT($T15),"",Computations!$E15+T15)</f>
        <v>0.006944444444444444</v>
      </c>
    </row>
    <row r="16" spans="1:21" s="65" customFormat="1" ht="12.75">
      <c r="A16" s="88">
        <f>Computations!A16</f>
        <v>5</v>
      </c>
      <c r="B16" s="89">
        <f>IF(ISTEXT(C16),"",Computations!B16)</f>
        <v>2</v>
      </c>
      <c r="C16" s="90">
        <f>IF(Computations!F16="closed",Computations!F15+Computations!C16,Computations!F16)</f>
        <v>0.37916666666666665</v>
      </c>
      <c r="D16" s="89">
        <f>IF(ISTEXT(A16),"",Computations!G16)</f>
        <v>0</v>
      </c>
      <c r="E16" s="88">
        <f>Computations!H16</f>
      </c>
      <c r="F16" s="88">
        <f>Computations!P16</f>
      </c>
      <c r="G16" s="90">
        <f>Computations!Q16</f>
      </c>
      <c r="H16" s="88">
        <f>IF(ISTEXT(Computations!R16),"",Computations!D16)</f>
        <v>15</v>
      </c>
      <c r="I16" s="90">
        <f>IF(Computations!$S16=1,Computations!R16,"")</f>
      </c>
      <c r="J16" s="90">
        <f>IF(ISTEXT($I16),"",$I16+Computations!$E16)</f>
      </c>
      <c r="K16" s="90">
        <f>IF(Computations!$S16=2,Computations!R16,"")</f>
      </c>
      <c r="L16" s="90">
        <f>IF(ISTEXT($K16),"",$K16+Computations!$E16)</f>
      </c>
      <c r="M16" s="90">
        <f>IF(Computations!$S16=3,Computations!R16,"")</f>
      </c>
      <c r="N16" s="90">
        <f>IF(ISTEXT($M16),"",$M16+Computations!$E16)</f>
      </c>
      <c r="O16" s="90">
        <f>IF(Computations!$S16=4,Computations!R16,"")</f>
      </c>
      <c r="P16" s="90">
        <f>IF(ISTEXT($O16),"",$O16+Computations!$E16)</f>
      </c>
      <c r="Q16" s="90">
        <f>IF(Computations!$S16=5,Computations!R16,"")</f>
        <v>0.37916666666666665</v>
      </c>
      <c r="R16" s="90">
        <f>IF(ISTEXT($Q16),"",$Q16+Computations!$E16)</f>
        <v>0.38958333333333334</v>
      </c>
      <c r="S16" s="90">
        <f t="shared" si="0"/>
      </c>
      <c r="T16" s="90">
        <f>IF(F16="renege","",Computations!O16)</f>
        <v>0</v>
      </c>
      <c r="U16" s="90">
        <f>IF(ISTEXT($T16),"",Computations!$E16+T16)</f>
        <v>0.010416666666666666</v>
      </c>
    </row>
    <row r="17" spans="1:21" s="65" customFormat="1" ht="12.75">
      <c r="A17" s="88">
        <f>Computations!A17</f>
        <v>6</v>
      </c>
      <c r="B17" s="89">
        <f>IF(ISTEXT(C17),"",Computations!B17)</f>
        <v>1</v>
      </c>
      <c r="C17" s="90">
        <f>IF(Computations!F17="closed",Computations!F16+Computations!C17,Computations!F17)</f>
        <v>0.3798611111111111</v>
      </c>
      <c r="D17" s="89">
        <f>IF(ISTEXT(A17),"",Computations!G17)</f>
        <v>0</v>
      </c>
      <c r="E17" s="88">
        <f>Computations!H17</f>
      </c>
      <c r="F17" s="88" t="str">
        <f>Computations!P17</f>
        <v>renege</v>
      </c>
      <c r="G17" s="90">
        <f>Computations!Q17</f>
        <v>0.38125</v>
      </c>
      <c r="H17" s="88">
        <f>IF(ISTEXT(Computations!R17),"",Computations!D17)</f>
      </c>
      <c r="I17" s="90">
        <f>IF(Computations!$S17=1,Computations!R17,"")</f>
      </c>
      <c r="J17" s="90">
        <f>IF(ISTEXT($I17),"",$I17+Computations!$E17)</f>
      </c>
      <c r="K17" s="90">
        <f>IF(Computations!$S17=2,Computations!R17,"")</f>
      </c>
      <c r="L17" s="90">
        <f>IF(ISTEXT($K17),"",$K17+Computations!$E17)</f>
      </c>
      <c r="M17" s="90">
        <f>IF(Computations!$S17=3,Computations!R17,"")</f>
      </c>
      <c r="N17" s="90">
        <f>IF(ISTEXT($M17),"",$M17+Computations!$E17)</f>
      </c>
      <c r="O17" s="90">
        <f>IF(Computations!$S17=4,Computations!R17,"")</f>
      </c>
      <c r="P17" s="90">
        <f>IF(ISTEXT($O17),"",$O17+Computations!$E17)</f>
      </c>
      <c r="Q17" s="90">
        <f>IF(Computations!$S17=5,Computations!R17,"")</f>
      </c>
      <c r="R17" s="90">
        <f>IF(ISTEXT($Q17),"",$Q17+Computations!$E17)</f>
      </c>
      <c r="S17" s="90">
        <f t="shared" si="0"/>
        <v>0.001388888888888884</v>
      </c>
      <c r="T17" s="90">
        <f>IF(F17="renege","",Computations!O17)</f>
      </c>
      <c r="U17" s="90">
        <f>IF(ISTEXT($T17),"",Computations!$E17+T17)</f>
      </c>
    </row>
    <row r="18" spans="1:21" s="65" customFormat="1" ht="12.75">
      <c r="A18" s="88">
        <f>Computations!A18</f>
        <v>7</v>
      </c>
      <c r="B18" s="89">
        <f>IF(ISTEXT(C18),"",Computations!B18)</f>
        <v>1</v>
      </c>
      <c r="C18" s="90">
        <f>IF(Computations!F18="closed",Computations!F17+Computations!C18,Computations!F18)</f>
        <v>0.38055555555555554</v>
      </c>
      <c r="D18" s="89">
        <f>IF(ISTEXT(A18),"",Computations!G18)</f>
        <v>1</v>
      </c>
      <c r="E18" s="88" t="str">
        <f>Computations!H18</f>
        <v>balk</v>
      </c>
      <c r="F18" s="88">
        <f>Computations!P18</f>
      </c>
      <c r="G18" s="90">
        <f>Computations!Q18</f>
      </c>
      <c r="H18" s="88">
        <f>IF(ISTEXT(Computations!R18),"",Computations!D18)</f>
      </c>
      <c r="I18" s="90">
        <f>IF(Computations!$S18=1,Computations!R18,"")</f>
      </c>
      <c r="J18" s="90">
        <f>IF(ISTEXT($I18),"",$I18+Computations!$E18)</f>
      </c>
      <c r="K18" s="90">
        <f>IF(Computations!$S18=2,Computations!R18,"")</f>
      </c>
      <c r="L18" s="90">
        <f>IF(ISTEXT($K18),"",$K18+Computations!$E18)</f>
      </c>
      <c r="M18" s="90">
        <f>IF(Computations!$S18=3,Computations!R18,"")</f>
      </c>
      <c r="N18" s="90">
        <f>IF(ISTEXT($M18),"",$M18+Computations!$E18)</f>
      </c>
      <c r="O18" s="90">
        <f>IF(Computations!$S18=4,Computations!R18,"")</f>
      </c>
      <c r="P18" s="90">
        <f>IF(ISTEXT($O18),"",$O18+Computations!$E18)</f>
      </c>
      <c r="Q18" s="90">
        <f>IF(Computations!$S18=5,Computations!R18,"")</f>
      </c>
      <c r="R18" s="90">
        <f>IF(ISTEXT($Q18),"",$Q18+Computations!$E18)</f>
      </c>
      <c r="S18" s="90">
        <f t="shared" si="0"/>
      </c>
      <c r="T18" s="90">
        <f>IF(F18="renege","",Computations!O18)</f>
      </c>
      <c r="U18" s="90">
        <f>IF(ISTEXT($T18),"",Computations!$E18+T18)</f>
      </c>
    </row>
    <row r="19" spans="1:21" s="65" customFormat="1" ht="12.75">
      <c r="A19" s="88">
        <f>Computations!A19</f>
        <v>8</v>
      </c>
      <c r="B19" s="89">
        <f>IF(ISTEXT(C19),"",Computations!B19)</f>
        <v>2</v>
      </c>
      <c r="C19" s="90">
        <f>IF(Computations!F19="closed",Computations!F18+Computations!C19,Computations!F19)</f>
        <v>0.3819444444444444</v>
      </c>
      <c r="D19" s="89">
        <f>IF(ISTEXT(A19),"",Computations!G19)</f>
        <v>0</v>
      </c>
      <c r="E19" s="88">
        <f>Computations!H19</f>
      </c>
      <c r="F19" s="88">
        <f>Computations!P19</f>
      </c>
      <c r="G19" s="90">
        <f>Computations!Q19</f>
      </c>
      <c r="H19" s="88">
        <f>IF(ISTEXT(Computations!R19),"",Computations!D19)</f>
        <v>20</v>
      </c>
      <c r="I19" s="90">
        <f>IF(Computations!$S19=1,Computations!R19,"")</f>
        <v>0.38263888888888886</v>
      </c>
      <c r="J19" s="90">
        <f>IF(ISTEXT($I19),"",$I19+Computations!$E19)</f>
        <v>0.39652777777777776</v>
      </c>
      <c r="K19" s="90">
        <f>IF(Computations!$S19=2,Computations!R19,"")</f>
      </c>
      <c r="L19" s="90">
        <f>IF(ISTEXT($K19),"",$K19+Computations!$E19)</f>
      </c>
      <c r="M19" s="90">
        <f>IF(Computations!$S19=3,Computations!R19,"")</f>
      </c>
      <c r="N19" s="90">
        <f>IF(ISTEXT($M19),"",$M19+Computations!$E19)</f>
      </c>
      <c r="O19" s="90">
        <f>IF(Computations!$S19=4,Computations!R19,"")</f>
      </c>
      <c r="P19" s="90">
        <f>IF(ISTEXT($O19),"",$O19+Computations!$E19)</f>
      </c>
      <c r="Q19" s="90">
        <f>IF(Computations!$S19=5,Computations!R19,"")</f>
      </c>
      <c r="R19" s="90">
        <f>IF(ISTEXT($Q19),"",$Q19+Computations!$E19)</f>
      </c>
      <c r="S19" s="90">
        <f t="shared" si="0"/>
      </c>
      <c r="T19" s="90">
        <f>IF(F19="renege","",Computations!O19)</f>
        <v>0.000694444444444442</v>
      </c>
      <c r="U19" s="90">
        <f>IF(ISTEXT($T19),"",Computations!$E19+T19)</f>
        <v>0.01458333333333333</v>
      </c>
    </row>
    <row r="20" spans="1:21" s="65" customFormat="1" ht="12.75">
      <c r="A20" s="88">
        <f>Computations!A20</f>
        <v>9</v>
      </c>
      <c r="B20" s="89">
        <f>IF(ISTEXT(C20),"",Computations!B20)</f>
        <v>2</v>
      </c>
      <c r="C20" s="90">
        <f>IF(Computations!F20="closed",Computations!F19+Computations!C20,Computations!F20)</f>
        <v>0.3833333333333333</v>
      </c>
      <c r="D20" s="89">
        <f>IF(ISTEXT(A20),"",Computations!G20)</f>
        <v>0</v>
      </c>
      <c r="E20" s="88">
        <f>Computations!H20</f>
      </c>
      <c r="F20" s="88">
        <f>Computations!P20</f>
      </c>
      <c r="G20" s="90">
        <f>Computations!Q20</f>
      </c>
      <c r="H20" s="88">
        <f>IF(ISTEXT(Computations!R20),"",Computations!D20)</f>
        <v>20</v>
      </c>
      <c r="I20" s="90">
        <f>IF(Computations!$S20=1,Computations!R20,"")</f>
      </c>
      <c r="J20" s="90">
        <f>IF(ISTEXT($I20),"",$I20+Computations!$E20)</f>
      </c>
      <c r="K20" s="90">
        <f>IF(Computations!$S20=2,Computations!R20,"")</f>
      </c>
      <c r="L20" s="90">
        <f>IF(ISTEXT($K20),"",$K20+Computations!$E20)</f>
      </c>
      <c r="M20" s="90">
        <f>IF(Computations!$S20=3,Computations!R20,"")</f>
        <v>0.38402777777777775</v>
      </c>
      <c r="N20" s="90">
        <f>IF(ISTEXT($M20),"",$M20+Computations!$E20)</f>
        <v>0.39791666666666664</v>
      </c>
      <c r="O20" s="90">
        <f>IF(Computations!$S20=4,Computations!R20,"")</f>
      </c>
      <c r="P20" s="90">
        <f>IF(ISTEXT($O20),"",$O20+Computations!$E20)</f>
      </c>
      <c r="Q20" s="90">
        <f>IF(Computations!$S20=5,Computations!R20,"")</f>
      </c>
      <c r="R20" s="90">
        <f>IF(ISTEXT($Q20),"",$Q20+Computations!$E20)</f>
      </c>
      <c r="S20" s="90">
        <f t="shared" si="0"/>
      </c>
      <c r="T20" s="90">
        <f>IF(F20="renege","",Computations!O20)</f>
        <v>0.000694444444444442</v>
      </c>
      <c r="U20" s="90">
        <f>IF(ISTEXT($T20),"",Computations!$E20+T20)</f>
        <v>0.01458333333333333</v>
      </c>
    </row>
    <row r="21" spans="1:21" s="65" customFormat="1" ht="12.75">
      <c r="A21" s="88">
        <f>Computations!A21</f>
        <v>10</v>
      </c>
      <c r="B21" s="89">
        <f>IF(ISTEXT(C21),"",Computations!B21)</f>
        <v>1</v>
      </c>
      <c r="C21" s="90">
        <f>IF(Computations!F21="closed",Computations!F20+Computations!C21,Computations!F21)</f>
        <v>0.38402777777777775</v>
      </c>
      <c r="D21" s="89">
        <f>IF(ISTEXT(A21),"",Computations!G21)</f>
        <v>0</v>
      </c>
      <c r="E21" s="88">
        <f>Computations!H21</f>
      </c>
      <c r="F21" s="88">
        <f>Computations!P21</f>
      </c>
      <c r="G21" s="90">
        <f>Computations!Q21</f>
      </c>
      <c r="H21" s="88">
        <f>IF(ISTEXT(Computations!R21),"",Computations!D21)</f>
        <v>20</v>
      </c>
      <c r="I21" s="90">
        <f>IF(Computations!$S21=1,Computations!R21,"")</f>
      </c>
      <c r="J21" s="90">
        <f>IF(ISTEXT($I21),"",$I21+Computations!$E21)</f>
      </c>
      <c r="K21" s="90">
        <f>IF(Computations!$S21=2,Computations!R21,"")</f>
      </c>
      <c r="L21" s="90">
        <f>IF(ISTEXT($K21),"",$K21+Computations!$E21)</f>
      </c>
      <c r="M21" s="90">
        <f>IF(Computations!$S21=3,Computations!R21,"")</f>
      </c>
      <c r="N21" s="90">
        <f>IF(ISTEXT($M21),"",$M21+Computations!$E21)</f>
      </c>
      <c r="O21" s="90">
        <f>IF(Computations!$S21=4,Computations!R21,"")</f>
        <v>0.3847222222222222</v>
      </c>
      <c r="P21" s="90">
        <f>IF(ISTEXT($O21),"",$O21+Computations!$E21)</f>
        <v>0.3986111111111111</v>
      </c>
      <c r="Q21" s="90">
        <f>IF(Computations!$S21=5,Computations!R21,"")</f>
      </c>
      <c r="R21" s="90">
        <f>IF(ISTEXT($Q21),"",$Q21+Computations!$E21)</f>
      </c>
      <c r="S21" s="90">
        <f t="shared" si="0"/>
      </c>
      <c r="T21" s="90">
        <f>IF(F21="renege","",Computations!O21)</f>
        <v>0.000694444444444442</v>
      </c>
      <c r="U21" s="90">
        <f>IF(ISTEXT($T21),"",Computations!$E21+T21)</f>
        <v>0.01458333333333333</v>
      </c>
    </row>
    <row r="22" spans="1:21" s="65" customFormat="1" ht="12.75">
      <c r="A22" s="88">
        <f>Computations!A22</f>
        <v>11</v>
      </c>
      <c r="B22" s="89">
        <f>IF(ISTEXT(C22),"",Computations!B22)</f>
        <v>2</v>
      </c>
      <c r="C22" s="90">
        <f>IF(Computations!F22="closed",Computations!F21+Computations!C22,Computations!F22)</f>
        <v>0.38541666666666663</v>
      </c>
      <c r="D22" s="89">
        <f>IF(ISTEXT(A22),"",Computations!G22)</f>
        <v>0</v>
      </c>
      <c r="E22" s="88">
        <f>Computations!H22</f>
      </c>
      <c r="F22" s="88" t="str">
        <f>Computations!P22</f>
        <v>renege</v>
      </c>
      <c r="G22" s="90">
        <f>Computations!Q22</f>
        <v>0.3868055555555555</v>
      </c>
      <c r="H22" s="88">
        <f>IF(ISTEXT(Computations!R22),"",Computations!D22)</f>
      </c>
      <c r="I22" s="90">
        <f>IF(Computations!$S22=1,Computations!R22,"")</f>
      </c>
      <c r="J22" s="90">
        <f>IF(ISTEXT($I22),"",$I22+Computations!$E22)</f>
      </c>
      <c r="K22" s="90">
        <f>IF(Computations!$S22=2,Computations!R22,"")</f>
      </c>
      <c r="L22" s="90">
        <f>IF(ISTEXT($K22),"",$K22+Computations!$E22)</f>
      </c>
      <c r="M22" s="90">
        <f>IF(Computations!$S22=3,Computations!R22,"")</f>
      </c>
      <c r="N22" s="90">
        <f>IF(ISTEXT($M22),"",$M22+Computations!$E22)</f>
      </c>
      <c r="O22" s="90">
        <f>IF(Computations!$S22=4,Computations!R22,"")</f>
      </c>
      <c r="P22" s="90">
        <f>IF(ISTEXT($O22),"",$O22+Computations!$E22)</f>
      </c>
      <c r="Q22" s="90">
        <f>IF(Computations!$S22=5,Computations!R22,"")</f>
      </c>
      <c r="R22" s="90">
        <f>IF(ISTEXT($Q22),"",$Q22+Computations!$E22)</f>
      </c>
      <c r="S22" s="90">
        <f t="shared" si="0"/>
        <v>0.001388888888888884</v>
      </c>
      <c r="T22" s="90">
        <f>IF(F22="renege","",Computations!O22)</f>
      </c>
      <c r="U22" s="90">
        <f>IF(ISTEXT($T22),"",Computations!$E22+T22)</f>
      </c>
    </row>
    <row r="23" spans="1:31" ht="12.75">
      <c r="A23" s="88">
        <f>Computations!A23</f>
        <v>12</v>
      </c>
      <c r="B23" s="89">
        <f>IF(ISTEXT(C23),"",Computations!B23)</f>
        <v>1</v>
      </c>
      <c r="C23" s="90">
        <f>IF(Computations!F23="closed",Computations!F22+Computations!C23,Computations!F23)</f>
        <v>0.38611111111111107</v>
      </c>
      <c r="D23" s="89">
        <f>IF(ISTEXT(A23),"",Computations!G23)</f>
        <v>1</v>
      </c>
      <c r="E23" s="88" t="str">
        <f>Computations!H23</f>
        <v>balk</v>
      </c>
      <c r="F23" s="88">
        <f>Computations!P23</f>
      </c>
      <c r="G23" s="90">
        <f>Computations!Q23</f>
      </c>
      <c r="H23" s="88">
        <f>IF(ISTEXT(Computations!R23),"",Computations!D23)</f>
      </c>
      <c r="I23" s="90">
        <f>IF(Computations!$S23=1,Computations!R23,"")</f>
      </c>
      <c r="J23" s="90">
        <f>IF(ISTEXT($I23),"",$I23+Computations!$E23)</f>
      </c>
      <c r="K23" s="90">
        <f>IF(Computations!$S23=2,Computations!R23,"")</f>
      </c>
      <c r="L23" s="90">
        <f>IF(ISTEXT($K23),"",$K23+Computations!$E23)</f>
      </c>
      <c r="M23" s="90">
        <f>IF(Computations!$S23=3,Computations!R23,"")</f>
      </c>
      <c r="N23" s="90">
        <f>IF(ISTEXT($M23),"",$M23+Computations!$E23)</f>
      </c>
      <c r="O23" s="90">
        <f>IF(Computations!$S23=4,Computations!R23,"")</f>
      </c>
      <c r="P23" s="90">
        <f>IF(ISTEXT($O23),"",$O23+Computations!$E23)</f>
      </c>
      <c r="Q23" s="90">
        <f>IF(Computations!$S23=5,Computations!R23,"")</f>
      </c>
      <c r="R23" s="90">
        <f>IF(ISTEXT($Q23),"",$Q23+Computations!$E23)</f>
      </c>
      <c r="S23" s="90">
        <f t="shared" si="0"/>
      </c>
      <c r="T23" s="90">
        <f>IF(F23="renege","",Computations!O23)</f>
      </c>
      <c r="U23" s="90">
        <f>IF(ISTEXT($T23),"",Computations!$E23+T23)</f>
      </c>
      <c r="AE23" s="65"/>
    </row>
    <row r="24" spans="1:21" ht="12.75">
      <c r="A24" s="88">
        <f>Computations!A24</f>
        <v>13</v>
      </c>
      <c r="B24" s="89">
        <f>IF(ISTEXT(C24),"",Computations!B24)</f>
        <v>1</v>
      </c>
      <c r="C24" s="90">
        <f>IF(Computations!F24="closed",Computations!F23+Computations!C24,Computations!F24)</f>
        <v>0.3868055555555555</v>
      </c>
      <c r="D24" s="89">
        <f>IF(ISTEXT(A24),"",Computations!G24)</f>
        <v>0</v>
      </c>
      <c r="E24" s="88">
        <f>Computations!H24</f>
      </c>
      <c r="F24" s="88" t="str">
        <f>Computations!P24</f>
        <v>renege</v>
      </c>
      <c r="G24" s="90">
        <f>Computations!Q24</f>
        <v>0.3881944444444444</v>
      </c>
      <c r="H24" s="88">
        <f>IF(ISTEXT(Computations!R24),"",Computations!D24)</f>
      </c>
      <c r="I24" s="90">
        <f>IF(Computations!$S24=1,Computations!R24,"")</f>
      </c>
      <c r="J24" s="90">
        <f>IF(ISTEXT($I24),"",$I24+Computations!$E24)</f>
      </c>
      <c r="K24" s="90">
        <f>IF(Computations!$S24=2,Computations!R24,"")</f>
      </c>
      <c r="L24" s="90">
        <f>IF(ISTEXT($K24),"",$K24+Computations!$E24)</f>
      </c>
      <c r="M24" s="90">
        <f>IF(Computations!$S24=3,Computations!R24,"")</f>
      </c>
      <c r="N24" s="90">
        <f>IF(ISTEXT($M24),"",$M24+Computations!$E24)</f>
      </c>
      <c r="O24" s="90">
        <f>IF(Computations!$S24=4,Computations!R24,"")</f>
      </c>
      <c r="P24" s="90">
        <f>IF(ISTEXT($O24),"",$O24+Computations!$E24)</f>
      </c>
      <c r="Q24" s="90">
        <f>IF(Computations!$S24=5,Computations!R24,"")</f>
      </c>
      <c r="R24" s="90">
        <f>IF(ISTEXT($Q24),"",$Q24+Computations!$E24)</f>
      </c>
      <c r="S24" s="90">
        <f t="shared" si="0"/>
        <v>0.001388888888888884</v>
      </c>
      <c r="T24" s="90">
        <f>IF(F24="renege","",Computations!O24)</f>
      </c>
      <c r="U24" s="90">
        <f>IF(ISTEXT($T24),"",Computations!$E24+T24)</f>
      </c>
    </row>
    <row r="25" spans="1:21" ht="12.75">
      <c r="A25" s="88">
        <f>Computations!A25</f>
        <v>14</v>
      </c>
      <c r="B25" s="89">
        <f>IF(ISTEXT(C25),"",Computations!B25)</f>
        <v>1</v>
      </c>
      <c r="C25" s="90">
        <f>IF(Computations!F25="closed",Computations!F24+Computations!C25,Computations!F25)</f>
        <v>0.38749999999999996</v>
      </c>
      <c r="D25" s="89">
        <f>IF(ISTEXT(A25),"",Computations!G25)</f>
        <v>1</v>
      </c>
      <c r="E25" s="88" t="str">
        <f>Computations!H25</f>
        <v>balk</v>
      </c>
      <c r="F25" s="88">
        <f>Computations!P25</f>
      </c>
      <c r="G25" s="90">
        <f>Computations!Q25</f>
      </c>
      <c r="H25" s="88">
        <f>IF(ISTEXT(Computations!R25),"",Computations!D25)</f>
      </c>
      <c r="I25" s="90">
        <f>IF(Computations!$S25=1,Computations!R25,"")</f>
      </c>
      <c r="J25" s="90">
        <f>IF(ISTEXT($I25),"",$I25+Computations!$E25)</f>
      </c>
      <c r="K25" s="90">
        <f>IF(Computations!$S25=2,Computations!R25,"")</f>
      </c>
      <c r="L25" s="90">
        <f>IF(ISTEXT($K25),"",$K25+Computations!$E25)</f>
      </c>
      <c r="M25" s="90">
        <f>IF(Computations!$S25=3,Computations!R25,"")</f>
      </c>
      <c r="N25" s="90">
        <f>IF(ISTEXT($M25),"",$M25+Computations!$E25)</f>
      </c>
      <c r="O25" s="90">
        <f>IF(Computations!$S25=4,Computations!R25,"")</f>
      </c>
      <c r="P25" s="90">
        <f>IF(ISTEXT($O25),"",$O25+Computations!$E25)</f>
      </c>
      <c r="Q25" s="90">
        <f>IF(Computations!$S25=5,Computations!R25,"")</f>
      </c>
      <c r="R25" s="90">
        <f>IF(ISTEXT($Q25),"",$Q25+Computations!$E25)</f>
      </c>
      <c r="S25" s="90">
        <f t="shared" si="0"/>
      </c>
      <c r="T25" s="90">
        <f>IF(F25="renege","",Computations!O25)</f>
      </c>
      <c r="U25" s="90">
        <f>IF(ISTEXT($T25),"",Computations!$E25+T25)</f>
      </c>
    </row>
    <row r="26" spans="1:21" ht="12.75">
      <c r="A26" s="88" t="str">
        <f>Computations!A26</f>
        <v>closed</v>
      </c>
      <c r="B26" s="89">
        <f>IF(ISTEXT(C26),"",Computations!B26)</f>
        <v>2</v>
      </c>
      <c r="C26" s="90">
        <f>IF(Computations!F26="closed",Computations!F25+Computations!C26,Computations!F26)</f>
        <v>0.38888888888888884</v>
      </c>
      <c r="D26" s="89">
        <f>IF(ISTEXT(A26),"",Computations!G26)</f>
      </c>
      <c r="E26" s="88">
        <f>Computations!H26</f>
      </c>
      <c r="F26" s="88">
        <f>Computations!P26</f>
      </c>
      <c r="G26" s="90">
        <f>Computations!Q26</f>
      </c>
      <c r="H26" s="88">
        <f>IF(ISTEXT(Computations!R26),"",Computations!D26)</f>
      </c>
      <c r="I26" s="90">
        <f>IF(Computations!$S26=1,Computations!R26,"")</f>
      </c>
      <c r="J26" s="90">
        <f>IF(ISTEXT($I26),"",$I26+Computations!$E26)</f>
      </c>
      <c r="K26" s="90">
        <f>IF(Computations!$S26=2,Computations!R26,"")</f>
      </c>
      <c r="L26" s="90">
        <f>IF(ISTEXT($K26),"",$K26+Computations!$E26)</f>
      </c>
      <c r="M26" s="90">
        <f>IF(Computations!$S26=3,Computations!R26,"")</f>
      </c>
      <c r="N26" s="90">
        <f>IF(ISTEXT($M26),"",$M26+Computations!$E26)</f>
      </c>
      <c r="O26" s="90">
        <f>IF(Computations!$S26=4,Computations!R26,"")</f>
      </c>
      <c r="P26" s="90">
        <f>IF(ISTEXT($O26),"",$O26+Computations!$E26)</f>
      </c>
      <c r="Q26" s="90">
        <f>IF(Computations!$S26=5,Computations!R26,"")</f>
      </c>
      <c r="R26" s="90">
        <f>IF(ISTEXT($Q26),"",$Q26+Computations!$E26)</f>
      </c>
      <c r="S26" s="90">
        <f t="shared" si="0"/>
      </c>
      <c r="T26" s="90">
        <f>IF(F26="renege","",Computations!O26)</f>
      </c>
      <c r="U26" s="90">
        <f>IF(ISTEXT($T26),"",Computations!$E26+T26)</f>
      </c>
    </row>
    <row r="27" spans="5:9" ht="12.75">
      <c r="E27" s="65"/>
      <c r="F27" s="65"/>
      <c r="G27" s="85"/>
      <c r="I27" s="85"/>
    </row>
    <row r="28" spans="12:27" ht="12.75">
      <c r="L28" s="12"/>
      <c r="M28" s="12"/>
      <c r="N28" s="12"/>
      <c r="O28" s="12"/>
      <c r="P28" s="12"/>
      <c r="Q28" s="12"/>
      <c r="R28" s="12"/>
      <c r="S28" s="85"/>
      <c r="AA28" s="12"/>
    </row>
    <row r="29" spans="9:29" ht="12.75">
      <c r="I29" s="86"/>
      <c r="AC29" s="78"/>
    </row>
    <row r="31" ht="12.75">
      <c r="AA31" s="12"/>
    </row>
    <row r="32" spans="8:27" ht="12.75">
      <c r="H32" s="87"/>
      <c r="AA32" s="12"/>
    </row>
    <row r="33" ht="12.75">
      <c r="AA33" s="12"/>
    </row>
    <row r="34" ht="12.75">
      <c r="AA34" s="12"/>
    </row>
    <row r="35" ht="12.75">
      <c r="AA35" s="12"/>
    </row>
  </sheetData>
  <printOptions gridLines="1" headings="1"/>
  <pageMargins left="0.25" right="0.25" top="1" bottom="1" header="0.5" footer="0.5"/>
  <pageSetup horizontalDpi="360" verticalDpi="36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A41"/>
  <sheetViews>
    <sheetView zoomScale="75" zoomScaleNormal="75" workbookViewId="0" topLeftCell="A6">
      <selection activeCell="A10" sqref="A10"/>
    </sheetView>
  </sheetViews>
  <sheetFormatPr defaultColWidth="9.140625" defaultRowHeight="12.75"/>
  <cols>
    <col min="1" max="1" width="6.57421875" style="11" customWidth="1"/>
    <col min="2" max="2" width="12.7109375" style="66" customWidth="1"/>
    <col min="3" max="3" width="14.00390625" style="52" customWidth="1"/>
    <col min="4" max="4" width="11.421875" style="68" customWidth="1"/>
    <col min="5" max="5" width="9.421875" style="52" customWidth="1"/>
    <col min="6" max="6" width="9.140625" style="52" customWidth="1"/>
    <col min="7" max="7" width="10.57421875" style="51" customWidth="1"/>
    <col min="8" max="8" width="7.140625" style="51" customWidth="1"/>
    <col min="9" max="13" width="10.57421875" style="51" customWidth="1"/>
    <col min="14" max="14" width="11.7109375" style="51" customWidth="1"/>
    <col min="15" max="15" width="10.57421875" style="51" customWidth="1"/>
    <col min="16" max="16" width="10.00390625" style="21" customWidth="1"/>
    <col min="17" max="17" width="9.140625" style="53" customWidth="1"/>
    <col min="18" max="18" width="11.7109375" style="53" customWidth="1"/>
    <col min="19" max="19" width="8.00390625" style="51" customWidth="1"/>
    <col min="20" max="23" width="9.140625" style="13" customWidth="1"/>
    <col min="24" max="16384" width="9.140625" style="52" customWidth="1"/>
  </cols>
  <sheetData>
    <row r="1" spans="1:5" ht="12.75">
      <c r="A1" s="13"/>
      <c r="B1" s="48"/>
      <c r="C1" s="49" t="s">
        <v>39</v>
      </c>
      <c r="D1" s="50"/>
      <c r="E1" s="51"/>
    </row>
    <row r="2" spans="1:5" ht="12.75">
      <c r="A2" s="13"/>
      <c r="B2" s="48"/>
      <c r="C2" s="49"/>
      <c r="D2" s="50"/>
      <c r="E2" s="92">
        <f>Data!H4/1440</f>
        <v>0.001388888888888889</v>
      </c>
    </row>
    <row r="3" spans="1:18" ht="12.75">
      <c r="A3" s="13"/>
      <c r="B3" s="48"/>
      <c r="D3" s="50"/>
      <c r="E3" s="53"/>
      <c r="R3" s="54"/>
    </row>
    <row r="4" spans="1:5" ht="12.75">
      <c r="A4" s="13"/>
      <c r="B4" s="48"/>
      <c r="D4" s="50"/>
      <c r="E4" s="53"/>
    </row>
    <row r="5" spans="2:18" ht="12.75">
      <c r="B5" s="55"/>
      <c r="D5" s="50"/>
      <c r="E5" s="53"/>
      <c r="R5" s="54"/>
    </row>
    <row r="6" spans="1:19" s="57" customFormat="1" ht="12.75">
      <c r="A6" s="14"/>
      <c r="B6" s="56" t="s">
        <v>40</v>
      </c>
      <c r="D6" s="56" t="s">
        <v>11</v>
      </c>
      <c r="G6" s="58" t="s">
        <v>16</v>
      </c>
      <c r="H6" s="58"/>
      <c r="I6" s="58" t="s">
        <v>41</v>
      </c>
      <c r="J6" s="58" t="s">
        <v>41</v>
      </c>
      <c r="K6" s="58" t="s">
        <v>41</v>
      </c>
      <c r="L6" s="58" t="s">
        <v>41</v>
      </c>
      <c r="M6" s="58" t="s">
        <v>41</v>
      </c>
      <c r="N6" s="58"/>
      <c r="O6" s="58" t="s">
        <v>41</v>
      </c>
      <c r="P6" s="58"/>
      <c r="Q6" s="54"/>
      <c r="R6" s="54"/>
      <c r="S6" s="58"/>
    </row>
    <row r="7" spans="1:21" s="57" customFormat="1" ht="12.75">
      <c r="A7" s="59" t="s">
        <v>17</v>
      </c>
      <c r="B7" s="56" t="s">
        <v>14</v>
      </c>
      <c r="C7" s="58" t="s">
        <v>10</v>
      </c>
      <c r="D7" s="56" t="s">
        <v>14</v>
      </c>
      <c r="E7" s="58" t="s">
        <v>42</v>
      </c>
      <c r="F7" s="58" t="s">
        <v>18</v>
      </c>
      <c r="G7" s="59" t="s">
        <v>19</v>
      </c>
      <c r="H7" s="58"/>
      <c r="I7" s="58" t="s">
        <v>43</v>
      </c>
      <c r="J7" s="58" t="s">
        <v>44</v>
      </c>
      <c r="K7" s="58" t="s">
        <v>45</v>
      </c>
      <c r="L7" s="58" t="s">
        <v>46</v>
      </c>
      <c r="M7" s="58" t="s">
        <v>47</v>
      </c>
      <c r="N7" s="54" t="s">
        <v>48</v>
      </c>
      <c r="O7" s="58" t="s">
        <v>26</v>
      </c>
      <c r="P7" s="58"/>
      <c r="Q7" s="60" t="s">
        <v>20</v>
      </c>
      <c r="R7" s="58" t="s">
        <v>49</v>
      </c>
      <c r="S7" s="58" t="s">
        <v>50</v>
      </c>
      <c r="T7" s="58" t="s">
        <v>11</v>
      </c>
      <c r="U7" s="57" t="s">
        <v>106</v>
      </c>
    </row>
    <row r="8" spans="1:21" s="57" customFormat="1" ht="12.75">
      <c r="A8" s="59" t="s">
        <v>28</v>
      </c>
      <c r="B8" s="56" t="s">
        <v>51</v>
      </c>
      <c r="C8" s="58" t="s">
        <v>52</v>
      </c>
      <c r="D8" s="56" t="s">
        <v>51</v>
      </c>
      <c r="E8" s="58" t="s">
        <v>14</v>
      </c>
      <c r="F8" s="58" t="s">
        <v>14</v>
      </c>
      <c r="G8" s="59" t="s">
        <v>29</v>
      </c>
      <c r="H8" s="58" t="s">
        <v>30</v>
      </c>
      <c r="I8" s="58" t="s">
        <v>14</v>
      </c>
      <c r="J8" s="58" t="s">
        <v>14</v>
      </c>
      <c r="K8" s="58" t="s">
        <v>14</v>
      </c>
      <c r="L8" s="58" t="s">
        <v>14</v>
      </c>
      <c r="M8" s="58" t="s">
        <v>14</v>
      </c>
      <c r="N8" s="54" t="s">
        <v>1</v>
      </c>
      <c r="O8" s="58" t="s">
        <v>14</v>
      </c>
      <c r="P8" s="58" t="s">
        <v>31</v>
      </c>
      <c r="Q8" s="60" t="s">
        <v>32</v>
      </c>
      <c r="R8" s="58" t="s">
        <v>1</v>
      </c>
      <c r="S8" s="58" t="s">
        <v>53</v>
      </c>
      <c r="T8" s="58" t="s">
        <v>14</v>
      </c>
      <c r="U8" s="57" t="s">
        <v>35</v>
      </c>
    </row>
    <row r="9" spans="1:23" s="57" customFormat="1" ht="13.5" thickBot="1">
      <c r="A9" s="61"/>
      <c r="B9" s="62" t="s">
        <v>15</v>
      </c>
      <c r="C9" s="63" t="s">
        <v>54</v>
      </c>
      <c r="D9" s="62" t="s">
        <v>15</v>
      </c>
      <c r="E9" s="63" t="s">
        <v>54</v>
      </c>
      <c r="F9" s="63" t="s">
        <v>36</v>
      </c>
      <c r="G9" s="61" t="s">
        <v>37</v>
      </c>
      <c r="H9" s="63"/>
      <c r="I9" s="63" t="s">
        <v>36</v>
      </c>
      <c r="J9" s="63" t="s">
        <v>36</v>
      </c>
      <c r="K9" s="63" t="s">
        <v>36</v>
      </c>
      <c r="L9" s="63" t="s">
        <v>36</v>
      </c>
      <c r="M9" s="63" t="s">
        <v>36</v>
      </c>
      <c r="N9" s="63" t="s">
        <v>36</v>
      </c>
      <c r="O9" s="63" t="s">
        <v>36</v>
      </c>
      <c r="P9" s="63"/>
      <c r="Q9" s="64" t="s">
        <v>36</v>
      </c>
      <c r="R9" s="63" t="s">
        <v>36</v>
      </c>
      <c r="S9" s="63"/>
      <c r="T9" s="58" t="s">
        <v>105</v>
      </c>
      <c r="W9" s="98" t="s">
        <v>107</v>
      </c>
    </row>
    <row r="10" spans="1:20" ht="12.75">
      <c r="A10" s="65"/>
      <c r="C10" s="51"/>
      <c r="D10" s="67"/>
      <c r="E10" s="51"/>
      <c r="F10" s="51"/>
      <c r="T10" s="21"/>
    </row>
    <row r="11" spans="1:27" ht="12.75">
      <c r="A11" s="65" t="s">
        <v>38</v>
      </c>
      <c r="C11" s="51"/>
      <c r="D11" s="67"/>
      <c r="E11" s="51"/>
      <c r="F11" s="91">
        <f>start_time</f>
        <v>0.375</v>
      </c>
      <c r="I11" s="53"/>
      <c r="J11" s="53"/>
      <c r="K11" s="53"/>
      <c r="L11" s="53"/>
      <c r="M11" s="53"/>
      <c r="N11" s="53"/>
      <c r="T11" s="21"/>
      <c r="W11" s="13" t="s">
        <v>108</v>
      </c>
      <c r="X11" s="52" t="s">
        <v>109</v>
      </c>
      <c r="Y11" s="52" t="s">
        <v>110</v>
      </c>
      <c r="Z11" s="52" t="s">
        <v>111</v>
      </c>
      <c r="AA11" s="52" t="s">
        <v>112</v>
      </c>
    </row>
    <row r="12" spans="1:27" ht="12.75">
      <c r="A12" s="88">
        <f>IF(ISTEXT(F12),"closed",1)</f>
        <v>1</v>
      </c>
      <c r="B12" s="67">
        <f ca="1">VLOOKUP(RAND(),arrival,3)</f>
        <v>1</v>
      </c>
      <c r="C12" s="91">
        <f>B12/1440</f>
        <v>0.0006944444444444445</v>
      </c>
      <c r="D12" s="67">
        <f ca="1">VLOOKUP(RAND(),service,3)</f>
        <v>10</v>
      </c>
      <c r="E12" s="91">
        <f>D12/1440</f>
        <v>0.006944444444444444</v>
      </c>
      <c r="F12" s="91">
        <f>IF(ISTEXT(F11),"",IF(F11+C12&gt;=close_time,"closed",F11+C12))</f>
        <v>0.37569444444444444</v>
      </c>
      <c r="G12" s="95">
        <f>COUNTIF(R$11:$R11,"&gt;"&amp;F12)+COUNTIF(Q$11:Q11,"&gt;"&amp;F12)</f>
        <v>0</v>
      </c>
      <c r="H12" s="93">
        <f>IF(G12&gt;=balk_num,"balk","")</f>
      </c>
      <c r="I12" s="91">
        <f>IF(OR(H12="balk",ISTEXT(F12)),"",MAX(Simulation!J$11:J11,start_time,$F12))</f>
        <v>0.37569444444444444</v>
      </c>
      <c r="J12" s="91">
        <f>IF(ISTEXT($I12),"",MAX(Simulation!L$11:L11,start_time,$F12))</f>
        <v>0.37569444444444444</v>
      </c>
      <c r="K12" s="91">
        <f>IF(ISTEXT($I12),"",MAX(Simulation!N$11:N11,start_time,$F12))</f>
        <v>0.37569444444444444</v>
      </c>
      <c r="L12" s="91">
        <f>IF(ISTEXT($I12),"",MAX(Simulation!P$11:P11,start_time,$F12))</f>
        <v>0.37569444444444444</v>
      </c>
      <c r="M12" s="91">
        <f>IF(ISTEXT($I12),"",MAX(Simulation!R$11:R11,start_time,$F12))</f>
        <v>0.37569444444444444</v>
      </c>
      <c r="N12" s="91">
        <f>IF(ISTEXT(I12),"",MIN(I12:M12))</f>
        <v>0.37569444444444444</v>
      </c>
      <c r="O12" s="91">
        <f>IF(ISTEXT(I12),"",N12-F12)</f>
        <v>0</v>
      </c>
      <c r="P12" s="94">
        <f>IF(ISTEXT(I12),"",IF(O12&gt;renege_time,"renege",""))</f>
      </c>
      <c r="Q12" s="91">
        <f aca="true" t="shared" si="0" ref="Q12:Q26">IF(P12="renege",F12+renege_time,"")</f>
      </c>
      <c r="R12" s="91">
        <f>IF(OR(P12="renege",ISTEXT(I12)),"",N12)</f>
        <v>0.37569444444444444</v>
      </c>
      <c r="S12" s="93">
        <f>IF(ISTEXT(R12),"",MATCH(R12,I12:M12,0))</f>
        <v>1</v>
      </c>
      <c r="T12" s="97">
        <f>IF(OR(H12="balk",P12="renege"),"",E12)</f>
        <v>0.006944444444444444</v>
      </c>
      <c r="U12" s="77">
        <f>IF(Simulation!F12="renege",Simulation!S12,Simulation!T12)</f>
        <v>0</v>
      </c>
      <c r="W12" s="77">
        <f>IF(ISNUMBER(SMALL(Simulation!$I$12:Simulation!$J$26,1)),SMALL(Simulation!$I$12:Simulation!$J$26,1),1)</f>
        <v>0.37569444444444444</v>
      </c>
      <c r="X12" s="99">
        <f>IF(ISNUMBER(SMALL(Simulation!$K$12:Simulation!$L$26,1)),SMALL(Simulation!$K$12:Simulation!$L$26,1),1)</f>
        <v>0.3763888888888889</v>
      </c>
      <c r="Y12" s="99">
        <f>IF(ISNUMBER(SMALL(Simulation!$M$12:Simulation!$N$26,1)),SMALL(Simulation!$M$12:Simulation!$N$26,1),1)</f>
        <v>0.3770833333333333</v>
      </c>
      <c r="Z12" s="99">
        <f>IF(ISNUMBER(SMALL(Simulation!$O$12:Simulation!$P$26,1)),SMALL(Simulation!$O$12:Simulation!$P$26,1),1)</f>
        <v>0.37777777777777777</v>
      </c>
      <c r="AA12" s="99">
        <f>IF(ISNUMBER(SMALL(Simulation!$Q$12:Simulation!$R$26,1)),SMALL(Simulation!$Q$12:Simulation!$R$26,1),1)</f>
        <v>0.37916666666666665</v>
      </c>
    </row>
    <row r="13" spans="1:27" ht="12.75">
      <c r="A13" s="88">
        <f>IF(ISTEXT(F13),"closed",A12+1)</f>
        <v>2</v>
      </c>
      <c r="B13" s="67">
        <f aca="true" ca="1" t="shared" si="1" ref="B13:B26">VLOOKUP(RAND(),arrival,3)</f>
        <v>1</v>
      </c>
      <c r="C13" s="91">
        <f aca="true" t="shared" si="2" ref="C13:C26">B13/1440</f>
        <v>0.0006944444444444445</v>
      </c>
      <c r="D13" s="67">
        <f aca="true" ca="1" t="shared" si="3" ref="D13:D26">VLOOKUP(RAND(),service,3)</f>
        <v>20</v>
      </c>
      <c r="E13" s="91">
        <f aca="true" t="shared" si="4" ref="E13:E26">D13/1440</f>
        <v>0.013888888888888888</v>
      </c>
      <c r="F13" s="91">
        <f aca="true" t="shared" si="5" ref="F13:F26">IF(ISTEXT(F12),"",IF(F12+C13&gt;=close_time,"closed",F12+C13))</f>
        <v>0.3763888888888889</v>
      </c>
      <c r="G13" s="95">
        <f>COUNTIF(R$11:$R12,"&gt;"&amp;F13)+COUNTIF(Q$11:Q12,"&gt;"&amp;F13)</f>
        <v>0</v>
      </c>
      <c r="H13" s="93">
        <f aca="true" t="shared" si="6" ref="H13:H26">IF(G13&gt;=balk_num,"balk","")</f>
      </c>
      <c r="I13" s="91">
        <f>IF(OR(H13="balk",ISTEXT(F13)),"",MAX(Simulation!J$11:J12,start_time,$F13))</f>
        <v>0.38263888888888886</v>
      </c>
      <c r="J13" s="91">
        <f>IF(ISTEXT(I13),"",MAX(Simulation!L$11:L12,start_time,$F13))</f>
        <v>0.3763888888888889</v>
      </c>
      <c r="K13" s="91">
        <f>IF(ISTEXT($I13),"",MAX(Simulation!N$11:N12,start_time,$F13))</f>
        <v>0.3763888888888889</v>
      </c>
      <c r="L13" s="91">
        <f>IF(ISTEXT($I13),"",MAX(Simulation!P$11:P12,start_time,$F13))</f>
        <v>0.3763888888888889</v>
      </c>
      <c r="M13" s="91">
        <f>IF(ISTEXT($I13),"",MAX(Simulation!R$11:R12,start_time,$F13))</f>
        <v>0.3763888888888889</v>
      </c>
      <c r="N13" s="91">
        <f aca="true" t="shared" si="7" ref="N13:N26">IF(ISTEXT(I13),"",MIN(I13:M13))</f>
        <v>0.3763888888888889</v>
      </c>
      <c r="O13" s="91">
        <f aca="true" t="shared" si="8" ref="O13:O26">IF(ISTEXT(I13),"",N13-F13)</f>
        <v>0</v>
      </c>
      <c r="P13" s="94">
        <f aca="true" t="shared" si="9" ref="P13:P26">IF(ISTEXT(I13),"",IF(O13&gt;renege_time,"renege",""))</f>
      </c>
      <c r="Q13" s="91">
        <f t="shared" si="0"/>
      </c>
      <c r="R13" s="91">
        <f aca="true" t="shared" si="10" ref="R13:R26">IF(OR(P13="renege",ISTEXT(I13)),"",N13)</f>
        <v>0.3763888888888889</v>
      </c>
      <c r="S13" s="93">
        <f aca="true" t="shared" si="11" ref="S13:S26">IF(ISTEXT(R13),"",MATCH(R13,I13:M13,0))</f>
        <v>2</v>
      </c>
      <c r="T13" s="97">
        <f>IF(OR(H13="balk",P13="renege"),"",E13)</f>
        <v>0.013888888888888888</v>
      </c>
      <c r="U13" s="77">
        <f>IF(Simulation!F13="renege",Simulation!S13,Simulation!T13)</f>
        <v>0</v>
      </c>
      <c r="W13" s="77">
        <f>IF(ISNUMBER(SMALL(Simulation!$I$12:Simulation!$J$26,2)),SMALL(Simulation!$I$12:Simulation!$J$26,2),1)</f>
        <v>0.38263888888888886</v>
      </c>
      <c r="X13" s="99">
        <f>IF(ISNUMBER(SMALL(Simulation!$K$12:Simulation!$L$26,2)),SMALL(Simulation!$K$12:Simulation!$L$26,2),1)</f>
        <v>0.3902777777777778</v>
      </c>
      <c r="Y13" s="99">
        <f>IF(ISNUMBER(SMALL(Simulation!$M$12:Simulation!$N$26,2)),SMALL(Simulation!$M$12:Simulation!$N$26,2),1)</f>
        <v>0.38402777777777775</v>
      </c>
      <c r="Z13" s="99">
        <f>IF(ISNUMBER(SMALL(Simulation!$O$12:Simulation!$P$26,2)),SMALL(Simulation!$O$12:Simulation!$P$26,2),1)</f>
        <v>0.3847222222222222</v>
      </c>
      <c r="AA13" s="99">
        <f>IF(ISNUMBER(SMALL(Simulation!$Q$12:Simulation!$R$26,2)),SMALL(Simulation!$Q$12:Simulation!$R$26,2),1)</f>
        <v>0.38958333333333334</v>
      </c>
    </row>
    <row r="14" spans="1:27" ht="12.75">
      <c r="A14" s="88">
        <f aca="true" t="shared" si="12" ref="A14:A26">IF(ISTEXT(F14),"closed",A13+1)</f>
        <v>3</v>
      </c>
      <c r="B14" s="67">
        <f ca="1" t="shared" si="1"/>
        <v>1</v>
      </c>
      <c r="C14" s="91">
        <f t="shared" si="2"/>
        <v>0.0006944444444444445</v>
      </c>
      <c r="D14" s="67">
        <f ca="1" t="shared" si="3"/>
        <v>10</v>
      </c>
      <c r="E14" s="91">
        <f t="shared" si="4"/>
        <v>0.006944444444444444</v>
      </c>
      <c r="F14" s="91">
        <f t="shared" si="5"/>
        <v>0.3770833333333333</v>
      </c>
      <c r="G14" s="95">
        <f>COUNTIF(R$11:$R13,"&gt;"&amp;F14)+COUNTIF(Q$11:Q13,"&gt;"&amp;F14)</f>
        <v>0</v>
      </c>
      <c r="H14" s="93">
        <f t="shared" si="6"/>
      </c>
      <c r="I14" s="91">
        <f>IF(OR(H14="balk",ISTEXT(F14)),"",MAX(Simulation!J$11:J13,start_time,$F14))</f>
        <v>0.38263888888888886</v>
      </c>
      <c r="J14" s="91">
        <f>IF(ISTEXT(I14),"",MAX(Simulation!L$11:L13,start_time,$F14))</f>
        <v>0.3902777777777778</v>
      </c>
      <c r="K14" s="91">
        <f>IF(ISTEXT($I14),"",MAX(Simulation!N$11:N13,start_time,$F14))</f>
        <v>0.3770833333333333</v>
      </c>
      <c r="L14" s="91">
        <f>IF(ISTEXT($I14),"",MAX(Simulation!P$11:P13,start_time,$F14))</f>
        <v>0.3770833333333333</v>
      </c>
      <c r="M14" s="91">
        <f>IF(ISTEXT($I14),"",MAX(Simulation!R$11:R13,start_time,$F14))</f>
        <v>0.3770833333333333</v>
      </c>
      <c r="N14" s="91">
        <f t="shared" si="7"/>
        <v>0.3770833333333333</v>
      </c>
      <c r="O14" s="91">
        <f t="shared" si="8"/>
        <v>0</v>
      </c>
      <c r="P14" s="94">
        <f t="shared" si="9"/>
      </c>
      <c r="Q14" s="91">
        <f t="shared" si="0"/>
      </c>
      <c r="R14" s="91">
        <f t="shared" si="10"/>
        <v>0.3770833333333333</v>
      </c>
      <c r="S14" s="93">
        <f t="shared" si="11"/>
        <v>3</v>
      </c>
      <c r="T14" s="97">
        <f>IF(OR(H14="balk",P14="renege"),"",E14)</f>
        <v>0.006944444444444444</v>
      </c>
      <c r="U14" s="77">
        <f>IF(Simulation!F14="renege",Simulation!S14,Simulation!T14)</f>
        <v>0</v>
      </c>
      <c r="W14" s="77">
        <f>IF(ISNUMBER(SMALL(Simulation!$I$12:Simulation!$J$26,3)),SMALL(Simulation!$I$12:Simulation!$J$26,3),1)</f>
        <v>0.38263888888888886</v>
      </c>
      <c r="X14" s="99">
        <f>IF(ISNUMBER(SMALL(Simulation!$K$12:Simulation!$L$26,3)),SMALL(Simulation!$K$12:Simulation!$L$26,3),1)</f>
        <v>1</v>
      </c>
      <c r="Y14" s="99">
        <f>IF(ISNUMBER(SMALL(Simulation!$M$12:Simulation!$N$26,3)),SMALL(Simulation!$M$12:Simulation!$N$26,3),1)</f>
        <v>0.38402777777777775</v>
      </c>
      <c r="Z14" s="99">
        <f>IF(ISNUMBER(SMALL(Simulation!$O$12:Simulation!$P$26,3)),SMALL(Simulation!$O$12:Simulation!$P$26,3),1)</f>
        <v>0.3847222222222222</v>
      </c>
      <c r="AA14" s="99">
        <f>IF(ISNUMBER(SMALL(Simulation!$Q$12:Simulation!$R$26,3)),SMALL(Simulation!$Q$12:Simulation!$R$26,3),1)</f>
        <v>1</v>
      </c>
    </row>
    <row r="15" spans="1:27" ht="12.75">
      <c r="A15" s="88">
        <f t="shared" si="12"/>
        <v>4</v>
      </c>
      <c r="B15" s="67">
        <f ca="1" t="shared" si="1"/>
        <v>1</v>
      </c>
      <c r="C15" s="91">
        <f t="shared" si="2"/>
        <v>0.0006944444444444445</v>
      </c>
      <c r="D15" s="67">
        <f ca="1" t="shared" si="3"/>
        <v>10</v>
      </c>
      <c r="E15" s="91">
        <f t="shared" si="4"/>
        <v>0.006944444444444444</v>
      </c>
      <c r="F15" s="91">
        <f t="shared" si="5"/>
        <v>0.37777777777777777</v>
      </c>
      <c r="G15" s="95">
        <f>COUNTIF(R$11:$R14,"&gt;"&amp;F15)+COUNTIF(Q$11:Q14,"&gt;"&amp;F15)</f>
        <v>0</v>
      </c>
      <c r="H15" s="93">
        <f t="shared" si="6"/>
      </c>
      <c r="I15" s="91">
        <f>IF(OR(H15="balk",ISTEXT(F15)),"",MAX(Simulation!J$11:J14,start_time,$F15))</f>
        <v>0.38263888888888886</v>
      </c>
      <c r="J15" s="91">
        <f>IF(ISTEXT(I15),"",MAX(Simulation!L$11:L14,start_time,$F15))</f>
        <v>0.3902777777777778</v>
      </c>
      <c r="K15" s="91">
        <f>IF(ISTEXT($I15),"",MAX(Simulation!N$11:N14,start_time,$F15))</f>
        <v>0.38402777777777775</v>
      </c>
      <c r="L15" s="91">
        <f>IF(ISTEXT($I15),"",MAX(Simulation!P$11:P14,start_time,$F15))</f>
        <v>0.37777777777777777</v>
      </c>
      <c r="M15" s="91">
        <f>IF(ISTEXT($I15),"",MAX(Simulation!R$11:R14,start_time,$F15))</f>
        <v>0.37777777777777777</v>
      </c>
      <c r="N15" s="91">
        <f t="shared" si="7"/>
        <v>0.37777777777777777</v>
      </c>
      <c r="O15" s="91">
        <f t="shared" si="8"/>
        <v>0</v>
      </c>
      <c r="P15" s="94">
        <f t="shared" si="9"/>
      </c>
      <c r="Q15" s="91">
        <f t="shared" si="0"/>
      </c>
      <c r="R15" s="91">
        <f t="shared" si="10"/>
        <v>0.37777777777777777</v>
      </c>
      <c r="S15" s="93">
        <f t="shared" si="11"/>
        <v>4</v>
      </c>
      <c r="T15" s="97">
        <f>IF(OR(H15="balk",P15="renege"),"",E15)</f>
        <v>0.006944444444444444</v>
      </c>
      <c r="U15" s="77">
        <f>IF(Simulation!F15="renege",Simulation!S15,Simulation!T15)</f>
        <v>0</v>
      </c>
      <c r="W15" s="77">
        <f>IF(ISNUMBER(SMALL(Simulation!$I$12:Simulation!$J$26,4)),SMALL(Simulation!$I$12:Simulation!$J$26,4),1)</f>
        <v>0.39652777777777776</v>
      </c>
      <c r="X15" s="99">
        <f>IF(ISNUMBER(SMALL(Simulation!$K$12:Simulation!$L$26,4)),SMALL(Simulation!$K$12:Simulation!$L$26,4),1)</f>
        <v>1</v>
      </c>
      <c r="Y15" s="99">
        <f>IF(ISNUMBER(SMALL(Simulation!$M$12:Simulation!$N$26,4)),SMALL(Simulation!$M$12:Simulation!$N$26,4),1)</f>
        <v>0.39791666666666664</v>
      </c>
      <c r="Z15" s="99">
        <f>IF(ISNUMBER(SMALL(Simulation!$O$12:Simulation!$P$26,4)),SMALL(Simulation!$O$12:Simulation!$P$26,4),1)</f>
        <v>0.3986111111111111</v>
      </c>
      <c r="AA15" s="99">
        <f>IF(ISNUMBER(SMALL(Simulation!$Q$12:Simulation!$R$26,4)),SMALL(Simulation!$Q$12:Simulation!$R$26,4),1)</f>
        <v>1</v>
      </c>
    </row>
    <row r="16" spans="1:27" ht="12.75">
      <c r="A16" s="88">
        <f t="shared" si="12"/>
        <v>5</v>
      </c>
      <c r="B16" s="67">
        <f ca="1" t="shared" si="1"/>
        <v>2</v>
      </c>
      <c r="C16" s="91">
        <f t="shared" si="2"/>
        <v>0.001388888888888889</v>
      </c>
      <c r="D16" s="67">
        <f ca="1" t="shared" si="3"/>
        <v>15</v>
      </c>
      <c r="E16" s="91">
        <f t="shared" si="4"/>
        <v>0.010416666666666666</v>
      </c>
      <c r="F16" s="91">
        <f t="shared" si="5"/>
        <v>0.37916666666666665</v>
      </c>
      <c r="G16" s="95">
        <f>COUNTIF(R$11:$R15,"&gt;"&amp;F16)+COUNTIF(Q$11:Q15,"&gt;"&amp;F16)</f>
        <v>0</v>
      </c>
      <c r="H16" s="93">
        <f t="shared" si="6"/>
      </c>
      <c r="I16" s="91">
        <f>IF(OR(H16="balk",ISTEXT(F16)),"",MAX(Simulation!J$11:J15,start_time,$F16))</f>
        <v>0.38263888888888886</v>
      </c>
      <c r="J16" s="91">
        <f>IF(ISTEXT(I16),"",MAX(Simulation!L$11:L15,start_time,$F16))</f>
        <v>0.3902777777777778</v>
      </c>
      <c r="K16" s="91">
        <f>IF(ISTEXT($I16),"",MAX(Simulation!N$11:N15,start_time,$F16))</f>
        <v>0.38402777777777775</v>
      </c>
      <c r="L16" s="91">
        <f>IF(ISTEXT($I16),"",MAX(Simulation!P$11:P15,start_time,$F16))</f>
        <v>0.3847222222222222</v>
      </c>
      <c r="M16" s="91">
        <f>IF(ISTEXT($I16),"",MAX(Simulation!R$11:R15,start_time,$F16))</f>
        <v>0.37916666666666665</v>
      </c>
      <c r="N16" s="91">
        <f t="shared" si="7"/>
        <v>0.37916666666666665</v>
      </c>
      <c r="O16" s="91">
        <f t="shared" si="8"/>
        <v>0</v>
      </c>
      <c r="P16" s="94">
        <f t="shared" si="9"/>
      </c>
      <c r="Q16" s="91">
        <f t="shared" si="0"/>
      </c>
      <c r="R16" s="91">
        <f t="shared" si="10"/>
        <v>0.37916666666666665</v>
      </c>
      <c r="S16" s="93">
        <f t="shared" si="11"/>
        <v>5</v>
      </c>
      <c r="T16" s="97">
        <f>IF(OR(H16="balk",P16="renege"),"",E16)</f>
        <v>0.010416666666666666</v>
      </c>
      <c r="U16" s="77">
        <f>IF(Simulation!F16="renege",Simulation!S16,Simulation!T16)</f>
        <v>0</v>
      </c>
      <c r="W16" s="77">
        <f>IF(ISNUMBER(SMALL(Simulation!$I$12:Simulation!$J$26,5)),SMALL(Simulation!$I$12:Simulation!$J$26,5),1)</f>
        <v>1</v>
      </c>
      <c r="X16" s="99">
        <f>IF(ISNUMBER(SMALL(Simulation!$K$12:Simulation!$L$26,5)),SMALL(Simulation!$K$12:Simulation!$L$26,5),1)</f>
        <v>1</v>
      </c>
      <c r="Y16" s="99">
        <f>IF(ISNUMBER(SMALL(Simulation!$M$12:Simulation!$N$26,5)),SMALL(Simulation!$M$12:Simulation!$N$26,5),1)</f>
        <v>1</v>
      </c>
      <c r="Z16" s="99">
        <f>IF(ISNUMBER(SMALL(Simulation!$O$12:Simulation!$P$26,5)),SMALL(Simulation!$O$12:Simulation!$P$26,5),1)</f>
        <v>1</v>
      </c>
      <c r="AA16" s="99">
        <f>IF(ISNUMBER(SMALL(Simulation!$Q$12:Simulation!$R$26,5)),SMALL(Simulation!$Q$12:Simulation!$R$26,5),1)</f>
        <v>1</v>
      </c>
    </row>
    <row r="17" spans="1:27" ht="12.75">
      <c r="A17" s="88">
        <f t="shared" si="12"/>
        <v>6</v>
      </c>
      <c r="B17" s="67">
        <f ca="1" t="shared" si="1"/>
        <v>1</v>
      </c>
      <c r="C17" s="91">
        <f t="shared" si="2"/>
        <v>0.0006944444444444445</v>
      </c>
      <c r="D17" s="67">
        <f ca="1" t="shared" si="3"/>
        <v>10</v>
      </c>
      <c r="E17" s="91">
        <f t="shared" si="4"/>
        <v>0.006944444444444444</v>
      </c>
      <c r="F17" s="91">
        <f t="shared" si="5"/>
        <v>0.3798611111111111</v>
      </c>
      <c r="G17" s="95">
        <f>COUNTIF(R$11:$R16,"&gt;"&amp;F17)+COUNTIF(Q$11:Q16,"&gt;"&amp;F17)</f>
        <v>0</v>
      </c>
      <c r="H17" s="93">
        <f t="shared" si="6"/>
      </c>
      <c r="I17" s="91">
        <f>IF(OR(H17="balk",ISTEXT(F17)),"",MAX(Simulation!J$11:J16,start_time,$F17))</f>
        <v>0.38263888888888886</v>
      </c>
      <c r="J17" s="91">
        <f>IF(ISTEXT(I17),"",MAX(Simulation!L$11:L16,start_time,$F17))</f>
        <v>0.3902777777777778</v>
      </c>
      <c r="K17" s="91">
        <f>IF(ISTEXT($I17),"",MAX(Simulation!N$11:N16,start_time,$F17))</f>
        <v>0.38402777777777775</v>
      </c>
      <c r="L17" s="91">
        <f>IF(ISTEXT($I17),"",MAX(Simulation!P$11:P16,start_time,$F17))</f>
        <v>0.3847222222222222</v>
      </c>
      <c r="M17" s="91">
        <f>IF(ISTEXT($I17),"",MAX(Simulation!R$11:R16,start_time,$F17))</f>
        <v>0.38958333333333334</v>
      </c>
      <c r="N17" s="91">
        <f t="shared" si="7"/>
        <v>0.38263888888888886</v>
      </c>
      <c r="O17" s="91">
        <f t="shared" si="8"/>
        <v>0.002777777777777768</v>
      </c>
      <c r="P17" s="94" t="str">
        <f t="shared" si="9"/>
        <v>renege</v>
      </c>
      <c r="Q17" s="91">
        <f t="shared" si="0"/>
        <v>0.38125</v>
      </c>
      <c r="R17" s="91">
        <f t="shared" si="10"/>
      </c>
      <c r="S17" s="93">
        <f t="shared" si="11"/>
      </c>
      <c r="T17" s="97">
        <f>IF(OR(H17="balk",P17="renege"),"",E17)</f>
      </c>
      <c r="U17" s="77">
        <f>IF(Simulation!F17="renege",Simulation!S17,Simulation!T17)</f>
        <v>0.001388888888888884</v>
      </c>
      <c r="W17" s="77">
        <f>IF(ISNUMBER(SMALL(Simulation!$I$12:Simulation!$J$26,6)),SMALL(Simulation!$I$12:Simulation!$J$26,6),1)</f>
        <v>1</v>
      </c>
      <c r="X17" s="99">
        <f>IF(ISNUMBER(SMALL(Simulation!$K$12:Simulation!$L$26,6)),SMALL(Simulation!$K$12:Simulation!$L$26,6),1)</f>
        <v>1</v>
      </c>
      <c r="Y17" s="99">
        <f>IF(ISNUMBER(SMALL(Simulation!$M$12:Simulation!$N$26,6)),SMALL(Simulation!$M$12:Simulation!$N$26,6),1)</f>
        <v>1</v>
      </c>
      <c r="Z17" s="99">
        <f>IF(ISNUMBER(SMALL(Simulation!$O$12:Simulation!$P$26,6)),SMALL(Simulation!$O$12:Simulation!$P$26,6),1)</f>
        <v>1</v>
      </c>
      <c r="AA17" s="99">
        <f>IF(ISNUMBER(SMALL(Simulation!$Q$12:Simulation!$R$26,6)),SMALL(Simulation!$Q$12:Simulation!$R$26,6),1)</f>
        <v>1</v>
      </c>
    </row>
    <row r="18" spans="1:27" ht="12.75">
      <c r="A18" s="88">
        <f t="shared" si="12"/>
        <v>7</v>
      </c>
      <c r="B18" s="67">
        <f ca="1" t="shared" si="1"/>
        <v>1</v>
      </c>
      <c r="C18" s="91">
        <f t="shared" si="2"/>
        <v>0.0006944444444444445</v>
      </c>
      <c r="D18" s="67">
        <f ca="1" t="shared" si="3"/>
        <v>15</v>
      </c>
      <c r="E18" s="91">
        <f t="shared" si="4"/>
        <v>0.010416666666666666</v>
      </c>
      <c r="F18" s="91">
        <f t="shared" si="5"/>
        <v>0.38055555555555554</v>
      </c>
      <c r="G18" s="95">
        <f>COUNTIF(R$11:$R17,"&gt;"&amp;F18)+COUNTIF(Q$11:Q17,"&gt;"&amp;F18)</f>
        <v>1</v>
      </c>
      <c r="H18" s="93" t="str">
        <f t="shared" si="6"/>
        <v>balk</v>
      </c>
      <c r="I18" s="91">
        <f>IF(OR(H18="balk",ISTEXT(F18)),"",MAX(Simulation!J$11:J17,start_time,$F18))</f>
      </c>
      <c r="J18" s="91">
        <f>IF(ISTEXT(I18),"",MAX(Simulation!L$11:L17,start_time,$F18))</f>
      </c>
      <c r="K18" s="91">
        <f>IF(ISTEXT($I18),"",MAX(Simulation!N$11:N17,start_time,$F18))</f>
      </c>
      <c r="L18" s="91">
        <f>IF(ISTEXT($I18),"",MAX(Simulation!P$11:P17,start_time,$F18))</f>
      </c>
      <c r="M18" s="91">
        <f>IF(ISTEXT($I18),"",MAX(Simulation!R$11:R17,start_time,$F18))</f>
      </c>
      <c r="N18" s="91">
        <f t="shared" si="7"/>
      </c>
      <c r="O18" s="91">
        <f t="shared" si="8"/>
      </c>
      <c r="P18" s="94">
        <f t="shared" si="9"/>
      </c>
      <c r="Q18" s="91">
        <f t="shared" si="0"/>
      </c>
      <c r="R18" s="91">
        <f t="shared" si="10"/>
      </c>
      <c r="S18" s="93">
        <f t="shared" si="11"/>
      </c>
      <c r="T18" s="97">
        <f>IF(OR(H18="balk",P18="renege"),"",E18)</f>
      </c>
      <c r="U18" s="77">
        <f>IF(Simulation!F18="renege",Simulation!S18,Simulation!T18)</f>
      </c>
      <c r="W18" s="77">
        <f>IF(ISNUMBER(SMALL(Simulation!$I$12:Simulation!$J$26,7)),SMALL(Simulation!$I$12:Simulation!$J$26,7),1)</f>
        <v>1</v>
      </c>
      <c r="X18" s="99">
        <f>IF(ISNUMBER(SMALL(Simulation!$K$12:Simulation!$L$26,7)),SMALL(Simulation!$K$12:Simulation!$L$26,7),1)</f>
        <v>1</v>
      </c>
      <c r="Y18" s="99">
        <f>IF(ISNUMBER(SMALL(Simulation!$M$12:Simulation!$N$26,7)),SMALL(Simulation!$M$12:Simulation!$N$26,7),1)</f>
        <v>1</v>
      </c>
      <c r="Z18" s="99">
        <f>IF(ISNUMBER(SMALL(Simulation!$O$12:Simulation!$P$26,7)),SMALL(Simulation!$O$12:Simulation!$P$26,7),1)</f>
        <v>1</v>
      </c>
      <c r="AA18" s="99">
        <f>IF(ISNUMBER(SMALL(Simulation!$Q$12:Simulation!$R$26,7)),SMALL(Simulation!$Q$12:Simulation!$R$26,7),1)</f>
        <v>1</v>
      </c>
    </row>
    <row r="19" spans="1:27" ht="12.75">
      <c r="A19" s="88">
        <f t="shared" si="12"/>
        <v>8</v>
      </c>
      <c r="B19" s="67">
        <f ca="1" t="shared" si="1"/>
        <v>2</v>
      </c>
      <c r="C19" s="91">
        <f t="shared" si="2"/>
        <v>0.001388888888888889</v>
      </c>
      <c r="D19" s="67">
        <f ca="1" t="shared" si="3"/>
        <v>20</v>
      </c>
      <c r="E19" s="91">
        <f t="shared" si="4"/>
        <v>0.013888888888888888</v>
      </c>
      <c r="F19" s="91">
        <f t="shared" si="5"/>
        <v>0.3819444444444444</v>
      </c>
      <c r="G19" s="95">
        <f>COUNTIF(R$11:$R18,"&gt;"&amp;F19)+COUNTIF(Q$11:Q18,"&gt;"&amp;F19)</f>
        <v>0</v>
      </c>
      <c r="H19" s="93">
        <f t="shared" si="6"/>
      </c>
      <c r="I19" s="91">
        <f>IF(OR(H19="balk",ISTEXT(F19)),"",MAX(Simulation!J$11:J18,start_time,$F19))</f>
        <v>0.38263888888888886</v>
      </c>
      <c r="J19" s="91">
        <f>IF(ISTEXT(I19),"",MAX(Simulation!L$11:L18,start_time,$F19))</f>
        <v>0.3902777777777778</v>
      </c>
      <c r="K19" s="91">
        <f>IF(ISTEXT($I19),"",MAX(Simulation!N$11:N18,start_time,$F19))</f>
        <v>0.38402777777777775</v>
      </c>
      <c r="L19" s="91">
        <f>IF(ISTEXT($I19),"",MAX(Simulation!P$11:P18,start_time,$F19))</f>
        <v>0.3847222222222222</v>
      </c>
      <c r="M19" s="91">
        <f>IF(ISTEXT($I19),"",MAX(Simulation!R$11:R18,start_time,$F19))</f>
        <v>0.38958333333333334</v>
      </c>
      <c r="N19" s="91">
        <f t="shared" si="7"/>
        <v>0.38263888888888886</v>
      </c>
      <c r="O19" s="91">
        <f t="shared" si="8"/>
        <v>0.000694444444444442</v>
      </c>
      <c r="P19" s="94">
        <f t="shared" si="9"/>
      </c>
      <c r="Q19" s="91">
        <f t="shared" si="0"/>
      </c>
      <c r="R19" s="91">
        <f t="shared" si="10"/>
        <v>0.38263888888888886</v>
      </c>
      <c r="S19" s="93">
        <f t="shared" si="11"/>
        <v>1</v>
      </c>
      <c r="T19" s="97">
        <f>IF(OR(H19="balk",P19="renege"),"",E19)</f>
        <v>0.013888888888888888</v>
      </c>
      <c r="U19" s="77">
        <f>IF(Simulation!F19="renege",Simulation!S19,Simulation!T19)</f>
        <v>0.000694444444444442</v>
      </c>
      <c r="W19" s="77">
        <f>IF(ISNUMBER(SMALL(Simulation!$I$12:Simulation!$J$26,8)),SMALL(Simulation!$I$12:Simulation!$J$26,8),1)</f>
        <v>1</v>
      </c>
      <c r="X19" s="99">
        <f>IF(ISNUMBER(SMALL(Simulation!$K$12:Simulation!$L$26,8)),SMALL(Simulation!$K$12:Simulation!$L$26,8),1)</f>
        <v>1</v>
      </c>
      <c r="Y19" s="99">
        <f>IF(ISNUMBER(SMALL(Simulation!$M$12:Simulation!$N$26,8)),SMALL(Simulation!$M$12:Simulation!$N$26,8),1)</f>
        <v>1</v>
      </c>
      <c r="Z19" s="99">
        <f>IF(ISNUMBER(SMALL(Simulation!$O$12:Simulation!$P$26,8)),SMALL(Simulation!$O$12:Simulation!$P$26,8),1)</f>
        <v>1</v>
      </c>
      <c r="AA19" s="99">
        <f>IF(ISNUMBER(SMALL(Simulation!$Q$12:Simulation!$R$26,8)),SMALL(Simulation!$Q$12:Simulation!$R$26,8),1)</f>
        <v>1</v>
      </c>
    </row>
    <row r="20" spans="1:27" ht="12.75">
      <c r="A20" s="88">
        <f t="shared" si="12"/>
        <v>9</v>
      </c>
      <c r="B20" s="67">
        <f ca="1" t="shared" si="1"/>
        <v>2</v>
      </c>
      <c r="C20" s="91">
        <f t="shared" si="2"/>
        <v>0.001388888888888889</v>
      </c>
      <c r="D20" s="67">
        <f ca="1" t="shared" si="3"/>
        <v>20</v>
      </c>
      <c r="E20" s="91">
        <f t="shared" si="4"/>
        <v>0.013888888888888888</v>
      </c>
      <c r="F20" s="91">
        <f t="shared" si="5"/>
        <v>0.3833333333333333</v>
      </c>
      <c r="G20" s="95">
        <f>COUNTIF(R$11:$R19,"&gt;"&amp;F20)+COUNTIF(Q$11:Q19,"&gt;"&amp;F20)</f>
        <v>0</v>
      </c>
      <c r="H20" s="93">
        <f t="shared" si="6"/>
      </c>
      <c r="I20" s="91">
        <f>IF(OR(H20="balk",ISTEXT(F20)),"",MAX(Simulation!J$11:J19,start_time,$F20))</f>
        <v>0.39652777777777776</v>
      </c>
      <c r="J20" s="91">
        <f>IF(ISTEXT(I20),"",MAX(Simulation!L$11:L19,start_time,$F20))</f>
        <v>0.3902777777777778</v>
      </c>
      <c r="K20" s="91">
        <f>IF(ISTEXT($I20),"",MAX(Simulation!N$11:N19,start_time,$F20))</f>
        <v>0.38402777777777775</v>
      </c>
      <c r="L20" s="91">
        <f>IF(ISTEXT($I20),"",MAX(Simulation!P$11:P19,start_time,$F20))</f>
        <v>0.3847222222222222</v>
      </c>
      <c r="M20" s="91">
        <f>IF(ISTEXT($I20),"",MAX(Simulation!R$11:R19,start_time,$F20))</f>
        <v>0.38958333333333334</v>
      </c>
      <c r="N20" s="91">
        <f t="shared" si="7"/>
        <v>0.38402777777777775</v>
      </c>
      <c r="O20" s="91">
        <f t="shared" si="8"/>
        <v>0.000694444444444442</v>
      </c>
      <c r="P20" s="94">
        <f t="shared" si="9"/>
      </c>
      <c r="Q20" s="91">
        <f t="shared" si="0"/>
      </c>
      <c r="R20" s="91">
        <f t="shared" si="10"/>
        <v>0.38402777777777775</v>
      </c>
      <c r="S20" s="93">
        <f t="shared" si="11"/>
        <v>3</v>
      </c>
      <c r="T20" s="97">
        <f>IF(OR(H20="balk",P20="renege"),"",E20)</f>
        <v>0.013888888888888888</v>
      </c>
      <c r="U20" s="77">
        <f>IF(Simulation!F20="renege",Simulation!S20,Simulation!T20)</f>
        <v>0.000694444444444442</v>
      </c>
      <c r="W20" s="77">
        <f>IF(ISNUMBER(SMALL(Simulation!$I$12:Simulation!$J$26,9)),SMALL(Simulation!$I$12:Simulation!$J$26,9),1)</f>
        <v>1</v>
      </c>
      <c r="X20" s="99">
        <f>IF(ISNUMBER(SMALL(Simulation!$K$12:Simulation!$L$26,9)),SMALL(Simulation!$K$12:Simulation!$L$26,9),1)</f>
        <v>1</v>
      </c>
      <c r="Y20" s="99">
        <f>IF(ISNUMBER(SMALL(Simulation!$M$12:Simulation!$N$26,9)),SMALL(Simulation!$M$12:Simulation!$N$26,9),1)</f>
        <v>1</v>
      </c>
      <c r="Z20" s="99">
        <f>IF(ISNUMBER(SMALL(Simulation!$O$12:Simulation!$P$26,9)),SMALL(Simulation!$O$12:Simulation!$P$26,9),1)</f>
        <v>1</v>
      </c>
      <c r="AA20" s="99">
        <f>IF(ISNUMBER(SMALL(Simulation!$Q$12:Simulation!$R$26,9)),SMALL(Simulation!$Q$12:Simulation!$R$26,9),1)</f>
        <v>1</v>
      </c>
    </row>
    <row r="21" spans="1:27" ht="12.75">
      <c r="A21" s="88">
        <f t="shared" si="12"/>
        <v>10</v>
      </c>
      <c r="B21" s="67">
        <f ca="1" t="shared" si="1"/>
        <v>1</v>
      </c>
      <c r="C21" s="91">
        <f t="shared" si="2"/>
        <v>0.0006944444444444445</v>
      </c>
      <c r="D21" s="67">
        <f ca="1" t="shared" si="3"/>
        <v>20</v>
      </c>
      <c r="E21" s="91">
        <f t="shared" si="4"/>
        <v>0.013888888888888888</v>
      </c>
      <c r="F21" s="91">
        <f t="shared" si="5"/>
        <v>0.38402777777777775</v>
      </c>
      <c r="G21" s="95">
        <f>COUNTIF(R$11:$R20,"&gt;"&amp;F21)+COUNTIF(Q$11:Q20,"&gt;"&amp;F21)</f>
        <v>0</v>
      </c>
      <c r="H21" s="93">
        <f t="shared" si="6"/>
      </c>
      <c r="I21" s="91">
        <f>IF(OR(H21="balk",ISTEXT(F21)),"",MAX(Simulation!J$11:J20,start_time,$F21))</f>
        <v>0.39652777777777776</v>
      </c>
      <c r="J21" s="91">
        <f>IF(ISTEXT(I21),"",MAX(Simulation!L$11:L20,start_time,$F21))</f>
        <v>0.3902777777777778</v>
      </c>
      <c r="K21" s="91">
        <f>IF(ISTEXT($I21),"",MAX(Simulation!N$11:N20,start_time,$F21))</f>
        <v>0.39791666666666664</v>
      </c>
      <c r="L21" s="91">
        <f>IF(ISTEXT($I21),"",MAX(Simulation!P$11:P20,start_time,$F21))</f>
        <v>0.3847222222222222</v>
      </c>
      <c r="M21" s="91">
        <f>IF(ISTEXT($I21),"",MAX(Simulation!R$11:R20,start_time,$F21))</f>
        <v>0.38958333333333334</v>
      </c>
      <c r="N21" s="91">
        <f t="shared" si="7"/>
        <v>0.3847222222222222</v>
      </c>
      <c r="O21" s="91">
        <f t="shared" si="8"/>
        <v>0.000694444444444442</v>
      </c>
      <c r="P21" s="94">
        <f t="shared" si="9"/>
      </c>
      <c r="Q21" s="91">
        <f t="shared" si="0"/>
      </c>
      <c r="R21" s="91">
        <f t="shared" si="10"/>
        <v>0.3847222222222222</v>
      </c>
      <c r="S21" s="93">
        <f t="shared" si="11"/>
        <v>4</v>
      </c>
      <c r="T21" s="97">
        <f>IF(OR(H21="balk",P21="renege"),"",E21)</f>
        <v>0.013888888888888888</v>
      </c>
      <c r="U21" s="77">
        <f>IF(Simulation!F21="renege",Simulation!S21,Simulation!T21)</f>
        <v>0.000694444444444442</v>
      </c>
      <c r="W21" s="77">
        <f>IF(ISNUMBER(SMALL(Simulation!$I$12:Simulation!$J$26,10)),SMALL(Simulation!$I$12:Simulation!$J$26,10),1)</f>
        <v>1</v>
      </c>
      <c r="X21" s="99">
        <f>IF(ISNUMBER(SMALL(Simulation!$K$12:Simulation!$L$26,10)),SMALL(Simulation!$K$12:Simulation!$L$26,10),1)</f>
        <v>1</v>
      </c>
      <c r="Y21" s="99">
        <f>IF(ISNUMBER(SMALL(Simulation!$M$12:Simulation!$N$26,10)),SMALL(Simulation!$M$12:Simulation!$N$26,10),1)</f>
        <v>1</v>
      </c>
      <c r="Z21" s="99">
        <f>IF(ISNUMBER(SMALL(Simulation!$O$12:Simulation!$P$26,10)),SMALL(Simulation!$O$12:Simulation!$P$26,10),1)</f>
        <v>1</v>
      </c>
      <c r="AA21" s="99">
        <f>IF(ISNUMBER(SMALL(Simulation!$Q$12:Simulation!$R$26,10)),SMALL(Simulation!$Q$12:Simulation!$R$26,10),1)</f>
        <v>1</v>
      </c>
    </row>
    <row r="22" spans="1:27" ht="12.75">
      <c r="A22" s="88">
        <f t="shared" si="12"/>
        <v>11</v>
      </c>
      <c r="B22" s="67">
        <f ca="1" t="shared" si="1"/>
        <v>2</v>
      </c>
      <c r="C22" s="91">
        <f t="shared" si="2"/>
        <v>0.001388888888888889</v>
      </c>
      <c r="D22" s="67">
        <f ca="1" t="shared" si="3"/>
        <v>15</v>
      </c>
      <c r="E22" s="91">
        <f t="shared" si="4"/>
        <v>0.010416666666666666</v>
      </c>
      <c r="F22" s="91">
        <f t="shared" si="5"/>
        <v>0.38541666666666663</v>
      </c>
      <c r="G22" s="95">
        <f>COUNTIF(R$11:$R21,"&gt;"&amp;F22)+COUNTIF(Q$11:Q21,"&gt;"&amp;F22)</f>
        <v>0</v>
      </c>
      <c r="H22" s="93">
        <f t="shared" si="6"/>
      </c>
      <c r="I22" s="91">
        <f>IF(OR(H22="balk",ISTEXT(F22)),"",MAX(Simulation!J$11:J21,start_time,$F22))</f>
        <v>0.39652777777777776</v>
      </c>
      <c r="J22" s="91">
        <f>IF(ISTEXT(I22),"",MAX(Simulation!L$11:L21,start_time,$F22))</f>
        <v>0.3902777777777778</v>
      </c>
      <c r="K22" s="91">
        <f>IF(ISTEXT($I22),"",MAX(Simulation!N$11:N21,start_time,$F22))</f>
        <v>0.39791666666666664</v>
      </c>
      <c r="L22" s="91">
        <f>IF(ISTEXT($I22),"",MAX(Simulation!P$11:P21,start_time,$F22))</f>
        <v>0.3986111111111111</v>
      </c>
      <c r="M22" s="91">
        <f>IF(ISTEXT($I22),"",MAX(Simulation!R$11:R21,start_time,$F22))</f>
        <v>0.38958333333333334</v>
      </c>
      <c r="N22" s="91">
        <f t="shared" si="7"/>
        <v>0.38958333333333334</v>
      </c>
      <c r="O22" s="91">
        <f t="shared" si="8"/>
        <v>0.004166666666666707</v>
      </c>
      <c r="P22" s="94" t="str">
        <f t="shared" si="9"/>
        <v>renege</v>
      </c>
      <c r="Q22" s="91">
        <f t="shared" si="0"/>
        <v>0.3868055555555555</v>
      </c>
      <c r="R22" s="91">
        <f t="shared" si="10"/>
      </c>
      <c r="S22" s="93">
        <f t="shared" si="11"/>
      </c>
      <c r="T22" s="97">
        <f>IF(OR(H22="balk",P22="renege"),"",E22)</f>
      </c>
      <c r="U22" s="77">
        <f>IF(Simulation!F22="renege",Simulation!S22,Simulation!T22)</f>
        <v>0.001388888888888884</v>
      </c>
      <c r="W22" s="77">
        <f>IF(ISNUMBER(SMALL(Simulation!$I$12:Simulation!$J$26,11)),SMALL(Simulation!$I$12:Simulation!$J$26,11),1)</f>
        <v>1</v>
      </c>
      <c r="X22" s="99">
        <f>IF(ISNUMBER(SMALL(Simulation!$K$12:Simulation!$L$26,11)),SMALL(Simulation!$K$12:Simulation!$L$26,11),1)</f>
        <v>1</v>
      </c>
      <c r="Y22" s="99">
        <f>IF(ISNUMBER(SMALL(Simulation!$M$12:Simulation!$N$26,11)),SMALL(Simulation!$M$12:Simulation!$N$26,11),1)</f>
        <v>1</v>
      </c>
      <c r="Z22" s="99">
        <f>IF(ISNUMBER(SMALL(Simulation!$O$12:Simulation!$P$26,11)),SMALL(Simulation!$O$12:Simulation!$P$26,11),1)</f>
        <v>1</v>
      </c>
      <c r="AA22" s="99">
        <f>IF(ISNUMBER(SMALL(Simulation!$Q$12:Simulation!$R$26,11)),SMALL(Simulation!$Q$12:Simulation!$R$26,11),1)</f>
        <v>1</v>
      </c>
    </row>
    <row r="23" spans="1:27" ht="12.75">
      <c r="A23" s="88">
        <f t="shared" si="12"/>
        <v>12</v>
      </c>
      <c r="B23" s="67">
        <f ca="1" t="shared" si="1"/>
        <v>1</v>
      </c>
      <c r="C23" s="91">
        <f t="shared" si="2"/>
        <v>0.0006944444444444445</v>
      </c>
      <c r="D23" s="67">
        <f ca="1" t="shared" si="3"/>
        <v>15</v>
      </c>
      <c r="E23" s="91">
        <f t="shared" si="4"/>
        <v>0.010416666666666666</v>
      </c>
      <c r="F23" s="91">
        <f t="shared" si="5"/>
        <v>0.38611111111111107</v>
      </c>
      <c r="G23" s="95">
        <f>COUNTIF(R$11:$R22,"&gt;"&amp;F23)+COUNTIF(Q$11:Q22,"&gt;"&amp;F23)</f>
        <v>1</v>
      </c>
      <c r="H23" s="93" t="str">
        <f t="shared" si="6"/>
        <v>balk</v>
      </c>
      <c r="I23" s="91">
        <f>IF(OR(H23="balk",ISTEXT(F23)),"",MAX(Simulation!J$11:J22,start_time,$F23))</f>
      </c>
      <c r="J23" s="91">
        <f>IF(ISTEXT(I23),"",MAX(Simulation!L$11:L22,start_time,$F23))</f>
      </c>
      <c r="K23" s="91">
        <f>IF(ISTEXT($I23),"",MAX(Simulation!N$11:N22,start_time,$F23))</f>
      </c>
      <c r="L23" s="91">
        <f>IF(ISTEXT($I23),"",MAX(Simulation!P$11:P22,start_time,$F23))</f>
      </c>
      <c r="M23" s="91">
        <f>IF(ISTEXT($I23),"",MAX(Simulation!R$11:R22,start_time,$F23))</f>
      </c>
      <c r="N23" s="91">
        <f t="shared" si="7"/>
      </c>
      <c r="O23" s="91">
        <f t="shared" si="8"/>
      </c>
      <c r="P23" s="94">
        <f t="shared" si="9"/>
      </c>
      <c r="Q23" s="91">
        <f t="shared" si="0"/>
      </c>
      <c r="R23" s="91">
        <f t="shared" si="10"/>
      </c>
      <c r="S23" s="93">
        <f t="shared" si="11"/>
      </c>
      <c r="T23" s="97">
        <f>IF(OR(H23="balk",P23="renege"),"",E23)</f>
      </c>
      <c r="U23" s="77">
        <f>IF(Simulation!F23="renege",Simulation!S23,Simulation!T23)</f>
      </c>
      <c r="W23" s="77">
        <f>IF(ISNUMBER(SMALL(Simulation!$I$12:Simulation!$J$26,12)),SMALL(Simulation!$I$12:Simulation!$J$26,12),1)</f>
        <v>1</v>
      </c>
      <c r="X23" s="99">
        <f>IF(ISNUMBER(SMALL(Simulation!$K$12:Simulation!$L$26,12)),SMALL(Simulation!$K$12:Simulation!$L$26,12),1)</f>
        <v>1</v>
      </c>
      <c r="Y23" s="99">
        <f>IF(ISNUMBER(SMALL(Simulation!$M$12:Simulation!$N$26,12)),SMALL(Simulation!$M$12:Simulation!$N$26,12),1)</f>
        <v>1</v>
      </c>
      <c r="Z23" s="99">
        <f>IF(ISNUMBER(SMALL(Simulation!$O$12:Simulation!$P$26,12)),SMALL(Simulation!$O$12:Simulation!$P$26,12),1)</f>
        <v>1</v>
      </c>
      <c r="AA23" s="99">
        <f>IF(ISNUMBER(SMALL(Simulation!$Q$12:Simulation!$R$26,12)),SMALL(Simulation!$Q$12:Simulation!$R$26,12),1)</f>
        <v>1</v>
      </c>
    </row>
    <row r="24" spans="1:27" ht="12.75">
      <c r="A24" s="88">
        <f t="shared" si="12"/>
        <v>13</v>
      </c>
      <c r="B24" s="67">
        <f ca="1" t="shared" si="1"/>
        <v>1</v>
      </c>
      <c r="C24" s="91">
        <f t="shared" si="2"/>
        <v>0.0006944444444444445</v>
      </c>
      <c r="D24" s="67">
        <f ca="1" t="shared" si="3"/>
        <v>10</v>
      </c>
      <c r="E24" s="91">
        <f t="shared" si="4"/>
        <v>0.006944444444444444</v>
      </c>
      <c r="F24" s="91">
        <f t="shared" si="5"/>
        <v>0.3868055555555555</v>
      </c>
      <c r="G24" s="95">
        <f>COUNTIF(R$11:$R23,"&gt;"&amp;F24)+COUNTIF(Q$11:Q23,"&gt;"&amp;F24)</f>
        <v>0</v>
      </c>
      <c r="H24" s="93">
        <f t="shared" si="6"/>
      </c>
      <c r="I24" s="91">
        <f>IF(OR(H24="balk",ISTEXT(F24)),"",MAX(Simulation!J$11:J23,start_time,$F24))</f>
        <v>0.39652777777777776</v>
      </c>
      <c r="J24" s="91">
        <f>IF(ISTEXT(I24),"",MAX(Simulation!L$11:L23,start_time,$F24))</f>
        <v>0.3902777777777778</v>
      </c>
      <c r="K24" s="91">
        <f>IF(ISTEXT($I24),"",MAX(Simulation!N$11:N23,start_time,$F24))</f>
        <v>0.39791666666666664</v>
      </c>
      <c r="L24" s="91">
        <f>IF(ISTEXT($I24),"",MAX(Simulation!P$11:P23,start_time,$F24))</f>
        <v>0.3986111111111111</v>
      </c>
      <c r="M24" s="91">
        <f>IF(ISTEXT($I24),"",MAX(Simulation!R$11:R23,start_time,$F24))</f>
        <v>0.38958333333333334</v>
      </c>
      <c r="N24" s="91">
        <f t="shared" si="7"/>
        <v>0.38958333333333334</v>
      </c>
      <c r="O24" s="91">
        <f t="shared" si="8"/>
        <v>0.0027777777777778234</v>
      </c>
      <c r="P24" s="94" t="str">
        <f t="shared" si="9"/>
        <v>renege</v>
      </c>
      <c r="Q24" s="91">
        <f t="shared" si="0"/>
        <v>0.3881944444444444</v>
      </c>
      <c r="R24" s="91">
        <f t="shared" si="10"/>
      </c>
      <c r="S24" s="93">
        <f t="shared" si="11"/>
      </c>
      <c r="T24" s="97">
        <f>IF(OR(H24="balk",P24="renege"),"",E24)</f>
      </c>
      <c r="U24" s="77">
        <f>IF(Simulation!F24="renege",Simulation!S24,Simulation!T24)</f>
        <v>0.001388888888888884</v>
      </c>
      <c r="W24" s="77">
        <f>IF(ISNUMBER(SMALL(Simulation!$I$12:Simulation!$J$26,13)),SMALL(Simulation!$I$12:Simulation!$J$26,13),1)</f>
        <v>1</v>
      </c>
      <c r="X24" s="99">
        <f>IF(ISNUMBER(SMALL(Simulation!$K$12:Simulation!$L$26,13)),SMALL(Simulation!$K$12:Simulation!$L$26,13),1)</f>
        <v>1</v>
      </c>
      <c r="Y24" s="99">
        <f>IF(ISNUMBER(SMALL(Simulation!$M$12:Simulation!$N$26,13)),SMALL(Simulation!$M$12:Simulation!$N$26,13),1)</f>
        <v>1</v>
      </c>
      <c r="Z24" s="99">
        <f>IF(ISNUMBER(SMALL(Simulation!$O$12:Simulation!$P$26,13)),SMALL(Simulation!$O$12:Simulation!$P$26,13),1)</f>
        <v>1</v>
      </c>
      <c r="AA24" s="99">
        <f>IF(ISNUMBER(SMALL(Simulation!$Q$12:Simulation!$R$26,13)),SMALL(Simulation!$Q$12:Simulation!$R$26,13),1)</f>
        <v>1</v>
      </c>
    </row>
    <row r="25" spans="1:27" ht="12.75">
      <c r="A25" s="88">
        <f t="shared" si="12"/>
        <v>14</v>
      </c>
      <c r="B25" s="67">
        <f ca="1" t="shared" si="1"/>
        <v>1</v>
      </c>
      <c r="C25" s="91">
        <f t="shared" si="2"/>
        <v>0.0006944444444444445</v>
      </c>
      <c r="D25" s="67">
        <f ca="1" t="shared" si="3"/>
        <v>10</v>
      </c>
      <c r="E25" s="91">
        <f t="shared" si="4"/>
        <v>0.006944444444444444</v>
      </c>
      <c r="F25" s="91">
        <f t="shared" si="5"/>
        <v>0.38749999999999996</v>
      </c>
      <c r="G25" s="95">
        <f>COUNTIF(R$11:$R24,"&gt;"&amp;F25)+COUNTIF(Q$11:Q24,"&gt;"&amp;F25)</f>
        <v>1</v>
      </c>
      <c r="H25" s="93" t="str">
        <f t="shared" si="6"/>
        <v>balk</v>
      </c>
      <c r="I25" s="91">
        <f>IF(OR(H25="balk",ISTEXT(F25)),"",MAX(Simulation!J$11:J24,start_time,$F25))</f>
      </c>
      <c r="J25" s="91">
        <f>IF(ISTEXT(I25),"",MAX(Simulation!L$11:L24,start_time,$F25))</f>
      </c>
      <c r="K25" s="91">
        <f>IF(ISTEXT($I25),"",MAX(Simulation!N$11:N24,start_time,$F25))</f>
      </c>
      <c r="L25" s="91">
        <f>IF(ISTEXT($I25),"",MAX(Simulation!P$11:P24,start_time,$F25))</f>
      </c>
      <c r="M25" s="91">
        <f>IF(ISTEXT($I25),"",MAX(Simulation!R$11:R24,start_time,$F25))</f>
      </c>
      <c r="N25" s="91">
        <f t="shared" si="7"/>
      </c>
      <c r="O25" s="91">
        <f t="shared" si="8"/>
      </c>
      <c r="P25" s="94">
        <f t="shared" si="9"/>
      </c>
      <c r="Q25" s="91">
        <f t="shared" si="0"/>
      </c>
      <c r="R25" s="91">
        <f t="shared" si="10"/>
      </c>
      <c r="S25" s="93">
        <f t="shared" si="11"/>
      </c>
      <c r="T25" s="97">
        <f>IF(OR(H25="balk",P25="renege"),"",E25)</f>
      </c>
      <c r="U25" s="77">
        <f>IF(Simulation!F25="renege",Simulation!S25,Simulation!T25)</f>
      </c>
      <c r="W25" s="77">
        <f>IF(ISNUMBER(SMALL(Simulation!$I$12:Simulation!$J$26,14)),SMALL(Simulation!$I$12:Simulation!$J$26,14),1)</f>
        <v>1</v>
      </c>
      <c r="X25" s="99">
        <f>IF(ISNUMBER(SMALL(Simulation!$K$12:Simulation!$L$26,14)),SMALL(Simulation!$K$12:Simulation!$L$26,14),1)</f>
        <v>1</v>
      </c>
      <c r="Y25" s="99">
        <f>IF(ISNUMBER(SMALL(Simulation!$M$12:Simulation!$N$26,14)),SMALL(Simulation!$M$12:Simulation!$N$26,14),1)</f>
        <v>1</v>
      </c>
      <c r="Z25" s="99">
        <f>IF(ISNUMBER(SMALL(Simulation!$O$12:Simulation!$P$26,14)),SMALL(Simulation!$O$12:Simulation!$P$26,14),1)</f>
        <v>1</v>
      </c>
      <c r="AA25" s="99">
        <f>IF(ISNUMBER(SMALL(Simulation!$Q$12:Simulation!$R$26,14)),SMALL(Simulation!$Q$12:Simulation!$R$26,14),1)</f>
        <v>1</v>
      </c>
    </row>
    <row r="26" spans="1:27" ht="12.75">
      <c r="A26" s="88" t="str">
        <f t="shared" si="12"/>
        <v>closed</v>
      </c>
      <c r="B26" s="67">
        <f ca="1" t="shared" si="1"/>
        <v>2</v>
      </c>
      <c r="C26" s="91">
        <f t="shared" si="2"/>
        <v>0.001388888888888889</v>
      </c>
      <c r="D26" s="67">
        <f ca="1" t="shared" si="3"/>
        <v>10</v>
      </c>
      <c r="E26" s="91">
        <f t="shared" si="4"/>
        <v>0.006944444444444444</v>
      </c>
      <c r="F26" s="91" t="str">
        <f t="shared" si="5"/>
        <v>closed</v>
      </c>
      <c r="G26" s="95">
        <f>COUNTIF(R$11:$R25,"&gt;"&amp;F26)+COUNTIF(Q$11:Q25,"&gt;"&amp;F26)</f>
        <v>0</v>
      </c>
      <c r="H26" s="93">
        <f t="shared" si="6"/>
      </c>
      <c r="I26" s="91">
        <f>IF(OR(H26="balk",ISTEXT(F26)),"",MAX(Simulation!J$11:J25,start_time,$F26))</f>
      </c>
      <c r="J26" s="91">
        <f>IF(ISTEXT(I26),"",MAX(Simulation!L$11:L25,start_time,$F26))</f>
      </c>
      <c r="K26" s="91">
        <f>IF(ISTEXT($I26),"",MAX(Simulation!N$11:N25,start_time,$F26))</f>
      </c>
      <c r="L26" s="91">
        <f>IF(ISTEXT($I26),"",MAX(Simulation!P$11:P25,start_time,$F26))</f>
      </c>
      <c r="M26" s="91">
        <f>IF(ISTEXT($I26),"",MAX(Simulation!R$11:R25,start_time,$F26))</f>
      </c>
      <c r="N26" s="91">
        <f t="shared" si="7"/>
      </c>
      <c r="O26" s="91">
        <f t="shared" si="8"/>
      </c>
      <c r="P26" s="94">
        <f t="shared" si="9"/>
      </c>
      <c r="Q26" s="91">
        <f t="shared" si="0"/>
      </c>
      <c r="R26" s="91">
        <f t="shared" si="10"/>
      </c>
      <c r="S26" s="93">
        <f t="shared" si="11"/>
      </c>
      <c r="T26" s="97">
        <f>IF(OR(H26="balk",P26="renege"),"",E26)</f>
        <v>0.006944444444444444</v>
      </c>
      <c r="U26" s="77">
        <f>IF(Simulation!F26="renege",Simulation!S26,Simulation!T26)</f>
      </c>
      <c r="W26" s="77">
        <f>IF(ISNUMBER(SMALL(Simulation!$I$12:Simulation!$J$26,15)),SMALL(Simulation!$I$12:Simulation!$J$26,15),1)</f>
        <v>1</v>
      </c>
      <c r="X26" s="99">
        <f>IF(ISNUMBER(SMALL(Simulation!$K$12:Simulation!$L$26,15)),SMALL(Simulation!$K$12:Simulation!$L$26,15),1)</f>
        <v>1</v>
      </c>
      <c r="Y26" s="99">
        <f>IF(ISNUMBER(SMALL(Simulation!$M$12:Simulation!$N$26,15)),SMALL(Simulation!$M$12:Simulation!$N$26,15),1)</f>
        <v>1</v>
      </c>
      <c r="Z26" s="99">
        <f>IF(ISNUMBER(SMALL(Simulation!$O$12:Simulation!$P$26,15)),SMALL(Simulation!$O$12:Simulation!$P$26,15),1)</f>
        <v>1</v>
      </c>
      <c r="AA26" s="99">
        <f>IF(ISNUMBER(SMALL(Simulation!$Q$12:Simulation!$R$26,15)),SMALL(Simulation!$Q$12:Simulation!$R$26,15),1)</f>
        <v>1</v>
      </c>
    </row>
    <row r="27" spans="16:27" ht="12.75">
      <c r="P27" s="69"/>
      <c r="W27" s="77">
        <f>IF(ISNUMBER(SMALL(Simulation!$I$12:Simulation!$J$26,16)),SMALL(Simulation!$I$12:Simulation!$J$26,16),1)</f>
        <v>1</v>
      </c>
      <c r="X27" s="99">
        <f>IF(ISNUMBER(SMALL(Simulation!$K$12:Simulation!$L$26,16)),SMALL(Simulation!$K$12:Simulation!$L$26,16),1)</f>
        <v>1</v>
      </c>
      <c r="Y27" s="99">
        <f>IF(ISNUMBER(SMALL(Simulation!$M$12:Simulation!$N$26,16)),SMALL(Simulation!$M$12:Simulation!$N$26,16),1)</f>
        <v>1</v>
      </c>
      <c r="Z27" s="99">
        <f>IF(ISNUMBER(SMALL(Simulation!$O$12:Simulation!$P$26,16)),SMALL(Simulation!$O$12:Simulation!$P$26,16),1)</f>
        <v>1</v>
      </c>
      <c r="AA27" s="99">
        <f>IF(ISNUMBER(SMALL(Simulation!$Q$12:Simulation!$R$26,16)),SMALL(Simulation!$Q$12:Simulation!$R$26,16),1)</f>
        <v>1</v>
      </c>
    </row>
    <row r="28" spans="6:27" ht="12.75">
      <c r="F28" s="70"/>
      <c r="G28" s="71"/>
      <c r="I28" s="53"/>
      <c r="J28" s="53"/>
      <c r="K28" s="53"/>
      <c r="L28" s="53"/>
      <c r="M28" s="53"/>
      <c r="N28" s="53"/>
      <c r="Q28" s="72"/>
      <c r="R28" s="72"/>
      <c r="W28" s="77">
        <f>IF(ISNUMBER(SMALL(Simulation!$I$12:Simulation!$J$26,17)),SMALL(Simulation!$I$12:Simulation!$J$26,17),1)</f>
        <v>1</v>
      </c>
      <c r="X28" s="99">
        <f>IF(ISNUMBER(SMALL(Simulation!$K$12:Simulation!$L$26,17)),SMALL(Simulation!$K$12:Simulation!$L$26,17),1)</f>
        <v>1</v>
      </c>
      <c r="Y28" s="99">
        <f>IF(ISNUMBER(SMALL(Simulation!$M$12:Simulation!$N$26,17)),SMALL(Simulation!$M$12:Simulation!$N$26,17),1)</f>
        <v>1</v>
      </c>
      <c r="Z28" s="99">
        <f>IF(ISNUMBER(SMALL(Simulation!$O$12:Simulation!$P$26,17)),SMALL(Simulation!$O$12:Simulation!$P$26,17),1)</f>
        <v>1</v>
      </c>
      <c r="AA28" s="99">
        <f>IF(ISNUMBER(SMALL(Simulation!$Q$12:Simulation!$R$26,17)),SMALL(Simulation!$Q$12:Simulation!$R$26,17),1)</f>
        <v>1</v>
      </c>
    </row>
    <row r="29" spans="23:27" ht="12.75">
      <c r="W29" s="77">
        <f>IF(ISNUMBER(SMALL(Simulation!$I$12:Simulation!$J$26,18)),SMALL(Simulation!$I$12:Simulation!$J$26,18),1)</f>
        <v>1</v>
      </c>
      <c r="X29" s="99">
        <f>IF(ISNUMBER(SMALL(Simulation!$K$12:Simulation!$L$26,18)),SMALL(Simulation!$K$12:Simulation!$L$26,18),1)</f>
        <v>1</v>
      </c>
      <c r="Y29" s="99">
        <f>IF(ISNUMBER(SMALL(Simulation!$M$12:Simulation!$N$26,18)),SMALL(Simulation!$M$12:Simulation!$N$26,18),1)</f>
        <v>1</v>
      </c>
      <c r="Z29" s="99">
        <f>IF(ISNUMBER(SMALL(Simulation!$O$12:Simulation!$P$26,18)),SMALL(Simulation!$O$12:Simulation!$P$26,18),1)</f>
        <v>1</v>
      </c>
      <c r="AA29" s="99">
        <f>IF(ISNUMBER(SMALL(Simulation!$Q$12:Simulation!$R$26,18)),SMALL(Simulation!$Q$12:Simulation!$R$26,18),1)</f>
        <v>1</v>
      </c>
    </row>
    <row r="30" spans="9:27" ht="12.75">
      <c r="I30" s="73"/>
      <c r="W30" s="77">
        <f>IF(ISNUMBER(SMALL(Simulation!$I$12:Simulation!$J$26,19)),SMALL(Simulation!$I$12:Simulation!$J$26,19),1)</f>
        <v>1</v>
      </c>
      <c r="X30" s="99">
        <f>IF(ISNUMBER(SMALL(Simulation!$K$12:Simulation!$L$26,19)),SMALL(Simulation!$K$12:Simulation!$L$26,19),1)</f>
        <v>1</v>
      </c>
      <c r="Y30" s="99">
        <f>IF(ISNUMBER(SMALL(Simulation!$M$12:Simulation!$N$26,19)),SMALL(Simulation!$M$12:Simulation!$N$26,19),1)</f>
        <v>1</v>
      </c>
      <c r="Z30" s="99">
        <f>IF(ISNUMBER(SMALL(Simulation!$O$12:Simulation!$P$26,19)),SMALL(Simulation!$O$12:Simulation!$P$26,19),1)</f>
        <v>1</v>
      </c>
      <c r="AA30" s="99">
        <f>IF(ISNUMBER(SMALL(Simulation!$Q$12:Simulation!$R$26,19)),SMALL(Simulation!$Q$12:Simulation!$R$26,19),1)</f>
        <v>1</v>
      </c>
    </row>
    <row r="31" spans="23:27" ht="12.75">
      <c r="W31" s="77">
        <f>IF(ISNUMBER(SMALL(Simulation!$I$12:Simulation!$J$26,20)),SMALL(Simulation!$I$12:Simulation!$J$26,20),1)</f>
        <v>1</v>
      </c>
      <c r="X31" s="99">
        <f>IF(ISNUMBER(SMALL(Simulation!$K$12:Simulation!$L$26,20)),SMALL(Simulation!$K$12:Simulation!$L$26,20),1)</f>
        <v>1</v>
      </c>
      <c r="Y31" s="99">
        <f>IF(ISNUMBER(SMALL(Simulation!$M$12:Simulation!$N$26,20)),SMALL(Simulation!$M$12:Simulation!$N$26,20),1)</f>
        <v>1</v>
      </c>
      <c r="Z31" s="99">
        <f>IF(ISNUMBER(SMALL(Simulation!$O$12:Simulation!$P$26,20)),SMALL(Simulation!$O$12:Simulation!$P$26,20),1)</f>
        <v>1</v>
      </c>
      <c r="AA31" s="99">
        <f>IF(ISNUMBER(SMALL(Simulation!$Q$12:Simulation!$R$26,20)),SMALL(Simulation!$Q$12:Simulation!$R$26,20),1)</f>
        <v>1</v>
      </c>
    </row>
    <row r="32" spans="3:27" ht="12.75">
      <c r="C32" s="74"/>
      <c r="D32" s="75"/>
      <c r="W32" s="77">
        <f>IF(ISNUMBER(SMALL(Simulation!$I$12:Simulation!$J$26,21)),SMALL(Simulation!$I$12:Simulation!$J$26,21),1)</f>
        <v>1</v>
      </c>
      <c r="X32" s="99">
        <f>IF(ISNUMBER(SMALL(Simulation!$K$12:Simulation!$L$26,21)),SMALL(Simulation!$K$12:Simulation!$L$26,21),1)</f>
        <v>1</v>
      </c>
      <c r="Y32" s="99">
        <f>IF(ISNUMBER(SMALL(Simulation!$M$12:Simulation!$N$26,21)),SMALL(Simulation!$M$12:Simulation!$N$26,21),1)</f>
        <v>1</v>
      </c>
      <c r="Z32" s="99">
        <f>IF(ISNUMBER(SMALL(Simulation!$O$12:Simulation!$P$26,21)),SMALL(Simulation!$O$12:Simulation!$P$26,21),1)</f>
        <v>1</v>
      </c>
      <c r="AA32" s="99">
        <f>IF(ISNUMBER(SMALL(Simulation!$Q$12:Simulation!$R$26,21)),SMALL(Simulation!$Q$12:Simulation!$R$26,21),1)</f>
        <v>1</v>
      </c>
    </row>
    <row r="33" spans="3:27" ht="12.75">
      <c r="C33" s="74"/>
      <c r="D33" s="75"/>
      <c r="W33" s="77">
        <f>IF(ISNUMBER(SMALL(Simulation!$I$12:Simulation!$J$26,22)),SMALL(Simulation!$I$12:Simulation!$J$26,22),1)</f>
        <v>1</v>
      </c>
      <c r="X33" s="99">
        <f>IF(ISNUMBER(SMALL(Simulation!$K$12:Simulation!$L$26,22)),SMALL(Simulation!$K$12:Simulation!$L$26,22),1)</f>
        <v>1</v>
      </c>
      <c r="Y33" s="99">
        <f>IF(ISNUMBER(SMALL(Simulation!$M$12:Simulation!$N$26,22)),SMALL(Simulation!$M$12:Simulation!$N$26,22),1)</f>
        <v>1</v>
      </c>
      <c r="Z33" s="99">
        <f>IF(ISNUMBER(SMALL(Simulation!$O$12:Simulation!$P$26,22)),SMALL(Simulation!$O$12:Simulation!$P$26,22),1)</f>
        <v>1</v>
      </c>
      <c r="AA33" s="99">
        <f>IF(ISNUMBER(SMALL(Simulation!$Q$12:Simulation!$R$26,22)),SMALL(Simulation!$Q$12:Simulation!$R$26,22),1)</f>
        <v>1</v>
      </c>
    </row>
    <row r="34" spans="3:27" ht="12.75">
      <c r="C34" s="74"/>
      <c r="D34" s="75"/>
      <c r="W34" s="77">
        <f>IF(ISNUMBER(SMALL(Simulation!$I$12:Simulation!$J$26,23)),SMALL(Simulation!$I$12:Simulation!$J$26,23),1)</f>
        <v>1</v>
      </c>
      <c r="X34" s="99">
        <f>IF(ISNUMBER(SMALL(Simulation!$K$12:Simulation!$L$26,23)),SMALL(Simulation!$K$12:Simulation!$L$26,23),1)</f>
        <v>1</v>
      </c>
      <c r="Y34" s="99">
        <f>IF(ISNUMBER(SMALL(Simulation!$M$12:Simulation!$N$26,23)),SMALL(Simulation!$M$12:Simulation!$N$26,23),1)</f>
        <v>1</v>
      </c>
      <c r="Z34" s="99">
        <f>IF(ISNUMBER(SMALL(Simulation!$O$12:Simulation!$P$26,23)),SMALL(Simulation!$O$12:Simulation!$P$26,23),1)</f>
        <v>1</v>
      </c>
      <c r="AA34" s="99">
        <f>IF(ISNUMBER(SMALL(Simulation!$Q$12:Simulation!$R$26,23)),SMALL(Simulation!$Q$12:Simulation!$R$26,23),1)</f>
        <v>1</v>
      </c>
    </row>
    <row r="35" spans="3:27" ht="12.75">
      <c r="C35" s="74"/>
      <c r="D35" s="75"/>
      <c r="W35" s="77">
        <f>IF(ISNUMBER(SMALL(Simulation!$I$12:Simulation!$J$26,24)),SMALL(Simulation!$I$12:Simulation!$J$26,24),1)</f>
        <v>1</v>
      </c>
      <c r="X35" s="99">
        <f>IF(ISNUMBER(SMALL(Simulation!$K$12:Simulation!$L$26,24)),SMALL(Simulation!$K$12:Simulation!$L$26,24),1)</f>
        <v>1</v>
      </c>
      <c r="Y35" s="99">
        <f>IF(ISNUMBER(SMALL(Simulation!$M$12:Simulation!$N$26,24)),SMALL(Simulation!$M$12:Simulation!$N$26,24),1)</f>
        <v>1</v>
      </c>
      <c r="Z35" s="99">
        <f>IF(ISNUMBER(SMALL(Simulation!$O$12:Simulation!$P$26,24)),SMALL(Simulation!$O$12:Simulation!$P$26,24),1)</f>
        <v>1</v>
      </c>
      <c r="AA35" s="99">
        <f>IF(ISNUMBER(SMALL(Simulation!$Q$12:Simulation!$R$26,24)),SMALL(Simulation!$Q$12:Simulation!$R$26,24),1)</f>
        <v>1</v>
      </c>
    </row>
    <row r="36" spans="3:27" ht="12.75">
      <c r="C36" s="74"/>
      <c r="D36" s="75"/>
      <c r="W36" s="77">
        <f>IF(ISNUMBER(SMALL(Simulation!$I$12:Simulation!$J$26,25)),SMALL(Simulation!$I$12:Simulation!$J$26,25),1)</f>
        <v>1</v>
      </c>
      <c r="X36" s="99">
        <f>IF(ISNUMBER(SMALL(Simulation!$K$12:Simulation!$L$26,25)),SMALL(Simulation!$K$12:Simulation!$L$26,25),1)</f>
        <v>1</v>
      </c>
      <c r="Y36" s="99">
        <f>IF(ISNUMBER(SMALL(Simulation!$M$12:Simulation!$N$26,25)),SMALL(Simulation!$M$12:Simulation!$N$26,25),1)</f>
        <v>1</v>
      </c>
      <c r="Z36" s="99">
        <f>IF(ISNUMBER(SMALL(Simulation!$O$12:Simulation!$P$26,25)),SMALL(Simulation!$O$12:Simulation!$P$26,25),1)</f>
        <v>1</v>
      </c>
      <c r="AA36" s="99">
        <f>IF(ISNUMBER(SMALL(Simulation!$Q$12:Simulation!$R$26,25)),SMALL(Simulation!$Q$12:Simulation!$R$26,25),1)</f>
        <v>1</v>
      </c>
    </row>
    <row r="37" spans="23:27" ht="12.75">
      <c r="W37" s="77">
        <f>IF(ISNUMBER(SMALL(Simulation!$I$12:Simulation!$J$26,26)),SMALL(Simulation!$I$12:Simulation!$J$26,26),1)</f>
        <v>1</v>
      </c>
      <c r="X37" s="99">
        <f>IF(ISNUMBER(SMALL(Simulation!$K$12:Simulation!$L$26,26)),SMALL(Simulation!$K$12:Simulation!$L$26,26),1)</f>
        <v>1</v>
      </c>
      <c r="Y37" s="99">
        <f>IF(ISNUMBER(SMALL(Simulation!$M$12:Simulation!$N$26,26)),SMALL(Simulation!$M$12:Simulation!$N$26,26),1)</f>
        <v>1</v>
      </c>
      <c r="Z37" s="99">
        <f>IF(ISNUMBER(SMALL(Simulation!$O$12:Simulation!$P$26,26)),SMALL(Simulation!$O$12:Simulation!$P$26,26),1)</f>
        <v>1</v>
      </c>
      <c r="AA37" s="99">
        <f>IF(ISNUMBER(SMALL(Simulation!$Q$12:Simulation!$R$26,26)),SMALL(Simulation!$Q$12:Simulation!$R$26,26),1)</f>
        <v>1</v>
      </c>
    </row>
    <row r="38" spans="23:27" ht="12.75">
      <c r="W38" s="77">
        <f>IF(ISNUMBER(SMALL(Simulation!$I$12:Simulation!$J$26,27)),SMALL(Simulation!$I$12:Simulation!$J$26,27),1)</f>
        <v>1</v>
      </c>
      <c r="X38" s="99">
        <f>IF(ISNUMBER(SMALL(Simulation!$K$12:Simulation!$L$26,27)),SMALL(Simulation!$K$12:Simulation!$L$26,27),1)</f>
        <v>1</v>
      </c>
      <c r="Y38" s="99">
        <f>IF(ISNUMBER(SMALL(Simulation!$M$12:Simulation!$N$26,27)),SMALL(Simulation!$M$12:Simulation!$N$26,27),1)</f>
        <v>1</v>
      </c>
      <c r="Z38" s="99">
        <f>IF(ISNUMBER(SMALL(Simulation!$O$12:Simulation!$P$26,27)),SMALL(Simulation!$O$12:Simulation!$P$26,27),1)</f>
        <v>1</v>
      </c>
      <c r="AA38" s="99">
        <f>IF(ISNUMBER(SMALL(Simulation!$Q$12:Simulation!$R$26,27)),SMALL(Simulation!$Q$12:Simulation!$R$26,27),1)</f>
        <v>1</v>
      </c>
    </row>
    <row r="39" spans="23:27" ht="12.75">
      <c r="W39" s="77">
        <f>IF(ISNUMBER(SMALL(Simulation!$I$12:Simulation!$J$26,28)),SMALL(Simulation!$I$12:Simulation!$J$26,28),1)</f>
        <v>1</v>
      </c>
      <c r="X39" s="99">
        <f>IF(ISNUMBER(SMALL(Simulation!$K$12:Simulation!$L$26,28)),SMALL(Simulation!$K$12:Simulation!$L$26,28),1)</f>
        <v>1</v>
      </c>
      <c r="Y39" s="99">
        <f>IF(ISNUMBER(SMALL(Simulation!$M$12:Simulation!$N$26,28)),SMALL(Simulation!$M$12:Simulation!$N$26,28),1)</f>
        <v>1</v>
      </c>
      <c r="Z39" s="99">
        <f>IF(ISNUMBER(SMALL(Simulation!$O$12:Simulation!$P$26,28)),SMALL(Simulation!$O$12:Simulation!$P$26,28),1)</f>
        <v>1</v>
      </c>
      <c r="AA39" s="99">
        <f>IF(ISNUMBER(SMALL(Simulation!$Q$12:Simulation!$R$26,28)),SMALL(Simulation!$Q$12:Simulation!$R$26,28),1)</f>
        <v>1</v>
      </c>
    </row>
    <row r="40" spans="23:27" ht="12.75">
      <c r="W40" s="77">
        <f>IF(ISNUMBER(SMALL(Simulation!$I$12:Simulation!$J$26,29)),SMALL(Simulation!$I$12:Simulation!$J$26,29),1)</f>
        <v>1</v>
      </c>
      <c r="X40" s="99">
        <f>IF(ISNUMBER(SMALL(Simulation!$K$12:Simulation!$L$26,29)),SMALL(Simulation!$K$12:Simulation!$L$26,29),1)</f>
        <v>1</v>
      </c>
      <c r="Y40" s="99">
        <f>IF(ISNUMBER(SMALL(Simulation!$M$12:Simulation!$N$26,29)),SMALL(Simulation!$M$12:Simulation!$N$26,29),1)</f>
        <v>1</v>
      </c>
      <c r="Z40" s="99">
        <f>IF(ISNUMBER(SMALL(Simulation!$O$12:Simulation!$P$26,29)),SMALL(Simulation!$O$12:Simulation!$P$26,29),1)</f>
        <v>1</v>
      </c>
      <c r="AA40" s="99">
        <f>IF(ISNUMBER(SMALL(Simulation!$Q$12:Simulation!$R$26,29)),SMALL(Simulation!$Q$12:Simulation!$R$26,29),1)</f>
        <v>1</v>
      </c>
    </row>
    <row r="41" spans="23:27" ht="12.75">
      <c r="W41" s="77">
        <f>IF(ISNUMBER(SMALL(Simulation!$I$12:Simulation!$J$26,30)),SMALL(Simulation!$I$12:Simulation!$J$26,30),1)</f>
        <v>1</v>
      </c>
      <c r="X41" s="99">
        <f>IF(ISNUMBER(SMALL(Simulation!$K$12:Simulation!$L$26,30)),SMALL(Simulation!$K$12:Simulation!$L$26,30),1)</f>
        <v>1</v>
      </c>
      <c r="Y41" s="99">
        <f>IF(ISNUMBER(SMALL(Simulation!$M$12:Simulation!$N$26,30)),SMALL(Simulation!$M$12:Simulation!$N$26,30),1)</f>
        <v>1</v>
      </c>
      <c r="Z41" s="99">
        <f>IF(ISNUMBER(SMALL(Simulation!$O$12:Simulation!$P$26,30)),SMALL(Simulation!$O$12:Simulation!$P$26,30),1)</f>
        <v>1</v>
      </c>
      <c r="AA41" s="99">
        <f>IF(ISNUMBER(SMALL(Simulation!$Q$12:Simulation!$R$26,30)),SMALL(Simulation!$Q$12:Simulation!$R$26,30),1)</f>
        <v>1</v>
      </c>
    </row>
  </sheetData>
  <printOptions gridLines="1" headings="1"/>
  <pageMargins left="0.25" right="0.25" top="1" bottom="1" header="0.5" footer="0.5"/>
  <pageSetup horizontalDpi="360" verticalDpi="3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60"/>
  <sheetViews>
    <sheetView showGridLines="0" workbookViewId="0" topLeftCell="A1">
      <selection activeCell="A3" sqref="A3"/>
    </sheetView>
  </sheetViews>
  <sheetFormatPr defaultColWidth="9.140625" defaultRowHeight="12.75"/>
  <sheetData>
    <row r="1" ht="18">
      <c r="A1" s="1" t="s">
        <v>86</v>
      </c>
    </row>
    <row r="2" ht="15.75">
      <c r="A2" s="2" t="s">
        <v>55</v>
      </c>
    </row>
    <row r="3" ht="12.75" customHeight="1">
      <c r="B3" s="3" t="s">
        <v>56</v>
      </c>
    </row>
    <row r="4" ht="12.75" customHeight="1">
      <c r="B4" s="3"/>
    </row>
    <row r="5" ht="12.75">
      <c r="A5" s="4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10" ht="12.75">
      <c r="A10" s="4" t="s">
        <v>61</v>
      </c>
    </row>
    <row r="11" ht="12.75">
      <c r="A11" t="s">
        <v>62</v>
      </c>
    </row>
    <row r="12" ht="12.75">
      <c r="A12" t="s">
        <v>87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88</v>
      </c>
    </row>
    <row r="19" ht="12.75">
      <c r="A19" t="s">
        <v>89</v>
      </c>
    </row>
    <row r="20" ht="12.75">
      <c r="A20" t="s">
        <v>68</v>
      </c>
    </row>
    <row r="22" ht="12.75">
      <c r="A22" s="4" t="s">
        <v>69</v>
      </c>
    </row>
    <row r="23" ht="12.75">
      <c r="A23" t="s">
        <v>90</v>
      </c>
    </row>
    <row r="24" ht="12.75">
      <c r="A24" t="s">
        <v>91</v>
      </c>
    </row>
    <row r="25" ht="12.75">
      <c r="A25" t="s">
        <v>87</v>
      </c>
    </row>
    <row r="26" ht="12.75">
      <c r="A26" t="s">
        <v>70</v>
      </c>
    </row>
    <row r="27" ht="12.75">
      <c r="A27" t="s">
        <v>71</v>
      </c>
    </row>
    <row r="29" ht="12.75">
      <c r="A29" s="4" t="s">
        <v>72</v>
      </c>
    </row>
    <row r="30" ht="12.75">
      <c r="A30" t="s">
        <v>73</v>
      </c>
    </row>
    <row r="31" ht="12.75">
      <c r="A31" t="s">
        <v>74</v>
      </c>
    </row>
    <row r="32" ht="12.75">
      <c r="A32" t="s">
        <v>75</v>
      </c>
    </row>
    <row r="34" ht="12.75">
      <c r="A34" s="4" t="s">
        <v>76</v>
      </c>
    </row>
    <row r="35" ht="12.75">
      <c r="A35" t="s">
        <v>92</v>
      </c>
    </row>
    <row r="36" ht="12.75">
      <c r="A36" t="s">
        <v>77</v>
      </c>
    </row>
    <row r="37" ht="12.75">
      <c r="A37" t="s">
        <v>78</v>
      </c>
    </row>
    <row r="38" ht="12.75">
      <c r="A38" t="s">
        <v>79</v>
      </c>
    </row>
    <row r="39" ht="12.75">
      <c r="A39" t="s">
        <v>93</v>
      </c>
    </row>
    <row r="40" ht="12.75">
      <c r="A40" t="s">
        <v>94</v>
      </c>
    </row>
    <row r="41" ht="12.75">
      <c r="A41" t="s">
        <v>95</v>
      </c>
    </row>
    <row r="43" ht="12.75">
      <c r="A43" s="4" t="s">
        <v>80</v>
      </c>
    </row>
    <row r="44" ht="12.75">
      <c r="A44" t="s">
        <v>96</v>
      </c>
    </row>
    <row r="45" ht="12.75">
      <c r="A45" t="s">
        <v>81</v>
      </c>
    </row>
    <row r="46" ht="12.75">
      <c r="A46" t="s">
        <v>82</v>
      </c>
    </row>
    <row r="47" ht="12.75">
      <c r="A47" t="s">
        <v>83</v>
      </c>
    </row>
    <row r="48" ht="12.75">
      <c r="A48" t="s">
        <v>84</v>
      </c>
    </row>
    <row r="50" ht="12.75">
      <c r="A50" s="4" t="s">
        <v>85</v>
      </c>
    </row>
    <row r="51" ht="12.75">
      <c r="A51" t="s">
        <v>97</v>
      </c>
    </row>
    <row r="52" ht="12.75">
      <c r="A52" t="s">
        <v>98</v>
      </c>
    </row>
    <row r="54" ht="12.75">
      <c r="A54" s="96" t="s">
        <v>99</v>
      </c>
    </row>
    <row r="55" ht="12.75">
      <c r="A55" t="s">
        <v>100</v>
      </c>
    </row>
    <row r="56" ht="12.75">
      <c r="A56" t="s">
        <v>101</v>
      </c>
    </row>
    <row r="57" ht="12.75">
      <c r="A57" t="s">
        <v>102</v>
      </c>
    </row>
    <row r="58" ht="12.75">
      <c r="A58" t="s">
        <v>103</v>
      </c>
    </row>
    <row r="60" ht="12.75">
      <c r="A60" s="5" t="s">
        <v>104</v>
      </c>
    </row>
  </sheetData>
  <sheetProtection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Willis</dc:creator>
  <cp:keywords/>
  <dc:description/>
  <cp:lastModifiedBy>CNS LABS</cp:lastModifiedBy>
  <dcterms:created xsi:type="dcterms:W3CDTF">2001-03-19T00:57:36Z</dcterms:created>
  <dcterms:modified xsi:type="dcterms:W3CDTF">2001-09-17T16:11:38Z</dcterms:modified>
  <cp:category/>
  <cp:version/>
  <cp:contentType/>
  <cp:contentStatus/>
</cp:coreProperties>
</file>