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<sst xmlns="http://schemas.openxmlformats.org/spreadsheetml/2006/main" count="193" uniqueCount="110">
  <si>
    <t>Spreadsheet Simulation Queueing Engine:  4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</si>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</sst>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0.37916666666666665</c:v>
                </c:pt>
                <c:pt idx="2">
                  <c:v>0.38055555555555554</c:v>
                </c:pt>
                <c:pt idx="3">
                  <c:v>0.38125</c:v>
                </c:pt>
                <c:pt idx="4">
                  <c:v>0.3833333333333333</c:v>
                </c:pt>
                <c:pt idx="5">
                  <c:v>0.38402777777777775</c:v>
                </c:pt>
                <c:pt idx="6">
                  <c:v>0.38541666666666663</c:v>
                </c:pt>
                <c:pt idx="7">
                  <c:v>0.3868055555555555</c:v>
                </c:pt>
                <c:pt idx="8">
                  <c:v>0.38749999999999996</c:v>
                </c:pt>
                <c:pt idx="9">
                  <c:v>0.3881944444444444</c:v>
                </c:pt>
                <c:pt idx="10">
                  <c:v>0.3902777777777777</c:v>
                </c:pt>
                <c:pt idx="11">
                  <c:v>0.39097222222222217</c:v>
                </c:pt>
                <c:pt idx="12">
                  <c:v>0.3916666666666666</c:v>
                </c:pt>
                <c:pt idx="13">
                  <c:v>0.39236111111111105</c:v>
                </c:pt>
                <c:pt idx="14">
                  <c:v>0.3930555555555555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0.001388888888888884</c:v>
                </c:pt>
                <c:pt idx="5">
                  <c:v>0</c:v>
                </c:pt>
                <c:pt idx="6">
                  <c:v>0.001388888888888884</c:v>
                </c:pt>
                <c:pt idx="7">
                  <c:v>0.000694444444444442</c:v>
                </c:pt>
                <c:pt idx="8">
                  <c:v>5.551115123125783E-17</c:v>
                </c:pt>
                <c:pt idx="9">
                  <c:v>0</c:v>
                </c:pt>
                <c:pt idx="10">
                  <c:v>0.001388888888888884</c:v>
                </c:pt>
                <c:pt idx="11">
                  <c:v>0</c:v>
                </c:pt>
                <c:pt idx="12">
                  <c:v>0.001388888888888884</c:v>
                </c:pt>
                <c:pt idx="13">
                  <c:v>0</c:v>
                </c:pt>
                <c:pt idx="14">
                  <c:v>5.551115123125783E-17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Computations!$S$12:$S$26</c:f>
              <c:numCache>
                <c:ptCount val="15"/>
                <c:pt idx="0">
                  <c:v>0.010416666666666666</c:v>
                </c:pt>
                <c:pt idx="1">
                  <c:v>0.013888888888888888</c:v>
                </c:pt>
                <c:pt idx="2">
                  <c:v>0.006944444444444444</c:v>
                </c:pt>
                <c:pt idx="3">
                  <c:v>0.006944444444444444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0.006944444444444444</c:v>
                </c:pt>
                <c:pt idx="8">
                  <c:v>0.006944444444444444</c:v>
                </c:pt>
                <c:pt idx="9">
                  <c:v>0.013888888888888888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0.006944444444444444</c:v>
                </c:pt>
              </c:numCache>
            </c:numRef>
          </c:val>
        </c:ser>
        <c:overlap val="100"/>
        <c:gapWidth val="0"/>
        <c:axId val="2084595"/>
        <c:axId val="18761356"/>
      </c:barChart>
      <c:cat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  <c:max val="0.3958333333333333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4595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Computations!$V$41:$Y$41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Computations!$V$40:$Y$40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Computations!$V$39:$Y$39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Computations!$V$38:$Y$38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Computations!$V$37:$Y$37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Computations!$V$36:$Y$36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Computations!$V$35:$Y$35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Computations!$V$34:$Y$34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Computations!$V$33:$Y$33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Computations!$V$32:$Y$32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Computations!$V$31:$Y$31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Computations!$V$30:$Y$30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Computations!$V$29:$Y$29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Computations!$V$28:$Y$28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Computations!$V$27:$Y$27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Computations!$V$26:$Y$26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Computations!$V$25:$Y$25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Computations!$V$24:$Y$24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Computations!$V$23:$Y$23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Computations!$V$22:$Y$22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Computations!$V$21:$Y$21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Computations!$V$20:$Y$20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Computations!$V$19:$Y$19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Computations!$V$18:$Y$18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Computations!$V$17:$Y$17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Computations!$V$16:$Y$16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Computations!$V$15:$Y$15</c:f>
              <c:numCache>
                <c:ptCount val="4"/>
                <c:pt idx="0">
                  <c:v>0.39444444444444443</c:v>
                </c:pt>
                <c:pt idx="1">
                  <c:v>0.39999999999999997</c:v>
                </c:pt>
                <c:pt idx="2">
                  <c:v>0.3944444444444444</c:v>
                </c:pt>
                <c:pt idx="3">
                  <c:v>0.4020833333333333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Computations!$V$14:$Y$14</c:f>
              <c:numCache>
                <c:ptCount val="4"/>
                <c:pt idx="0">
                  <c:v>0.3875</c:v>
                </c:pt>
                <c:pt idx="1">
                  <c:v>0.39305555555555555</c:v>
                </c:pt>
                <c:pt idx="2">
                  <c:v>0.38749999999999996</c:v>
                </c:pt>
                <c:pt idx="3">
                  <c:v>0.3881944444444444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Computations!$V$13:$Y$13</c:f>
              <c:numCache>
                <c:ptCount val="4"/>
                <c:pt idx="0">
                  <c:v>0.3875</c:v>
                </c:pt>
                <c:pt idx="1">
                  <c:v>0.39305555555555555</c:v>
                </c:pt>
                <c:pt idx="2">
                  <c:v>0.38749999999999996</c:v>
                </c:pt>
                <c:pt idx="3">
                  <c:v>0.3881944444444444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Computations!$V$11:$Y$11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Computations!$V$12:$Y$12</c:f>
              <c:numCache>
                <c:ptCount val="4"/>
                <c:pt idx="0">
                  <c:v>0.3770833333333333</c:v>
                </c:pt>
                <c:pt idx="1">
                  <c:v>0.37916666666666665</c:v>
                </c:pt>
                <c:pt idx="2">
                  <c:v>0.38055555555555554</c:v>
                </c:pt>
                <c:pt idx="3">
                  <c:v>0.38125</c:v>
                </c:pt>
              </c:numCache>
            </c:numRef>
          </c:val>
        </c:ser>
        <c:overlap val="100"/>
        <c:axId val="34634477"/>
        <c:axId val="43274838"/>
      </c:barChart>
      <c:catAx>
        <c:axId val="3463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  <c:max val="0.3958333333333333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34477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95250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104775</xdr:rowOff>
    </xdr:from>
    <xdr:to>
      <xdr:col>20</xdr:col>
      <xdr:colOff>209550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29350" y="4486275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0.3958333333333333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5742187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16" width="9.140625" style="11" customWidth="1"/>
    <col min="17" max="17" width="11.140625" style="65" customWidth="1"/>
    <col min="18" max="19" width="9.140625" style="11" customWidth="1"/>
    <col min="20" max="20" width="7.421875" style="11" customWidth="1"/>
    <col min="21" max="25" width="7.7109375" style="11" customWidth="1"/>
    <col min="26" max="26" width="9.140625" style="78" customWidth="1"/>
    <col min="27" max="27" width="9.140625" style="12" customWidth="1"/>
    <col min="28" max="16384" width="9.140625" style="11" customWidth="1"/>
  </cols>
  <sheetData>
    <row r="1" spans="1:27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Z1" s="11"/>
      <c r="AA1" s="11"/>
    </row>
    <row r="2" spans="1:27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Z2" s="11"/>
      <c r="AA2" s="11"/>
    </row>
    <row r="3" spans="1:27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Z3" s="11"/>
      <c r="AA3" s="11"/>
    </row>
    <row r="4" spans="1:27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Z4" s="11"/>
      <c r="AA4" s="11"/>
    </row>
    <row r="6" ht="12.75">
      <c r="D6" s="79" t="s">
        <v>16</v>
      </c>
    </row>
    <row r="7" spans="1:19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1" t="s">
        <v>20</v>
      </c>
      <c r="R7" s="59" t="s">
        <v>25</v>
      </c>
      <c r="S7" s="59" t="s">
        <v>26</v>
      </c>
    </row>
    <row r="8" spans="1:19" s="59" customFormat="1" ht="12.75">
      <c r="A8" s="59" t="s">
        <v>27</v>
      </c>
      <c r="B8" s="79" t="s">
        <v>14</v>
      </c>
      <c r="C8" s="79" t="s">
        <v>14</v>
      </c>
      <c r="D8" s="79" t="s">
        <v>28</v>
      </c>
      <c r="E8" s="59" t="s">
        <v>29</v>
      </c>
      <c r="F8" s="59" t="s">
        <v>30</v>
      </c>
      <c r="G8" s="60" t="s">
        <v>31</v>
      </c>
      <c r="H8" s="59" t="s">
        <v>14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1" t="s">
        <v>33</v>
      </c>
      <c r="O8" s="81" t="s">
        <v>32</v>
      </c>
      <c r="P8" s="81" t="s">
        <v>33</v>
      </c>
      <c r="Q8" s="81" t="s">
        <v>34</v>
      </c>
      <c r="R8" s="82" t="s">
        <v>14</v>
      </c>
      <c r="S8" s="82" t="s">
        <v>14</v>
      </c>
    </row>
    <row r="9" spans="1:19" s="59" customFormat="1" ht="13.5" thickBot="1">
      <c r="A9" s="61"/>
      <c r="B9" s="83" t="s">
        <v>15</v>
      </c>
      <c r="C9" s="61" t="s">
        <v>35</v>
      </c>
      <c r="D9" s="83" t="s">
        <v>36</v>
      </c>
      <c r="E9" s="61"/>
      <c r="F9" s="61"/>
      <c r="G9" s="64" t="s">
        <v>35</v>
      </c>
      <c r="H9" s="61" t="s">
        <v>15</v>
      </c>
      <c r="I9" s="61" t="s">
        <v>35</v>
      </c>
      <c r="J9" s="61" t="s">
        <v>35</v>
      </c>
      <c r="K9" s="61" t="s">
        <v>35</v>
      </c>
      <c r="L9" s="61" t="s">
        <v>35</v>
      </c>
      <c r="M9" s="61" t="s">
        <v>35</v>
      </c>
      <c r="N9" s="61" t="s">
        <v>35</v>
      </c>
      <c r="O9" s="61" t="s">
        <v>35</v>
      </c>
      <c r="P9" s="61" t="s">
        <v>35</v>
      </c>
      <c r="Q9" s="61" t="s">
        <v>35</v>
      </c>
      <c r="R9" s="61" t="s">
        <v>35</v>
      </c>
      <c r="S9" s="61" t="s">
        <v>35</v>
      </c>
    </row>
    <row r="10" spans="2:17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65" customFormat="1" ht="12.75">
      <c r="A11" s="88" t="s">
        <v>37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88"/>
      <c r="S11" s="88"/>
    </row>
    <row r="12" spans="1:19" s="65" customFormat="1" ht="12.75">
      <c r="A12" s="88">
        <f>Computations!A12</f>
        <v>1</v>
      </c>
      <c r="B12" s="89">
        <f>IF(ISTEXT(C12),"",Computations!B12)</f>
        <v>3</v>
      </c>
      <c r="C12" s="90">
        <f>IF(Computations!F12="closed",Computations!F11+Computations!C12,Computations!F12)</f>
        <v>0.3770833333333333</v>
      </c>
      <c r="D12" s="89">
        <f>IF(ISTEXT(A12),"",Computations!G12)</f>
        <v>0</v>
      </c>
      <c r="E12" s="88">
        <f>Computations!H12</f>
      </c>
      <c r="F12" s="88">
        <f>Computations!O12</f>
      </c>
      <c r="G12" s="90">
        <f>Computations!P12</f>
      </c>
      <c r="H12" s="88">
        <f>IF(ISTEXT(Computations!Q12),"",Computations!D12)</f>
        <v>15</v>
      </c>
      <c r="I12" s="90">
        <f>IF(Computations!$R12=1,Computations!Q12,"")</f>
        <v>0.3770833333333333</v>
      </c>
      <c r="J12" s="90">
        <f>IF(ISTEXT($I12),"",$I12+Computations!$E12)</f>
        <v>0.3875</v>
      </c>
      <c r="K12" s="90">
        <f>IF(Computations!$R12=2,Computations!Q12,"")</f>
      </c>
      <c r="L12" s="90">
        <f>IF(ISTEXT($K12),"",$K12+Computations!$E12)</f>
      </c>
      <c r="M12" s="90">
        <f>IF(Computations!$R12=3,Computations!Q12,"")</f>
      </c>
      <c r="N12" s="90">
        <f>IF(ISTEXT($M12),"",$M12+Computations!$E12)</f>
      </c>
      <c r="O12" s="90">
        <f>IF(Computations!$R12=4,Computations!Q12,"")</f>
      </c>
      <c r="P12" s="90">
        <f>IF(ISTEXT($O12),"",$O12+Computations!$E12)</f>
      </c>
      <c r="Q12" s="90">
        <f>IF(F12="renege",G12-C12,"")</f>
      </c>
      <c r="R12" s="90">
        <f>IF(F12="renege","",Computations!N12)</f>
        <v>0</v>
      </c>
      <c r="S12" s="90">
        <f>IF(ISTEXT($R12),"",Computations!$E12+R12)</f>
        <v>0.010416666666666666</v>
      </c>
    </row>
    <row r="13" spans="1:19" s="65" customFormat="1" ht="12.75">
      <c r="A13" s="88">
        <f>Computations!A13</f>
        <v>2</v>
      </c>
      <c r="B13" s="89">
        <f>IF(ISTEXT(C13),"",Computations!B13)</f>
        <v>3</v>
      </c>
      <c r="C13" s="90">
        <f>IF(Computations!F13="closed",Computations!F12+Computations!C13,Computations!F13)</f>
        <v>0.37916666666666665</v>
      </c>
      <c r="D13" s="89">
        <f>IF(ISTEXT(A13),"",Computations!G13)</f>
        <v>0</v>
      </c>
      <c r="E13" s="88">
        <f>Computations!H13</f>
      </c>
      <c r="F13" s="88">
        <f>Computations!O13</f>
      </c>
      <c r="G13" s="90">
        <f>Computations!P13</f>
      </c>
      <c r="H13" s="88">
        <f>IF(ISTEXT(Computations!Q13),"",Computations!D13)</f>
        <v>20</v>
      </c>
      <c r="I13" s="90">
        <f>IF(Computations!$R13=1,Computations!Q13,"")</f>
      </c>
      <c r="J13" s="90">
        <f>IF(ISTEXT($I13),"",$I13+Computations!$E13)</f>
      </c>
      <c r="K13" s="90">
        <f>IF(Computations!$R13=2,Computations!Q13,"")</f>
        <v>0.37916666666666665</v>
      </c>
      <c r="L13" s="90">
        <f>IF(ISTEXT($K13),"",$K13+Computations!$E13)</f>
        <v>0.39305555555555555</v>
      </c>
      <c r="M13" s="90">
        <f>IF(Computations!$R13=3,Computations!Q13,"")</f>
      </c>
      <c r="N13" s="90">
        <f>IF(ISTEXT($M13),"",$M13+Computations!$E13)</f>
      </c>
      <c r="O13" s="90">
        <f>IF(Computations!$R13=4,Computations!Q13,"")</f>
      </c>
      <c r="P13" s="90">
        <f>IF(ISTEXT($O13),"",$O13+Computations!$E13)</f>
      </c>
      <c r="Q13" s="90">
        <f aca="true" t="shared" si="0" ref="Q13:Q26">IF(F13="renege",G13-C13,"")</f>
      </c>
      <c r="R13" s="90">
        <f>IF(F13="renege","",Computations!N13)</f>
        <v>0</v>
      </c>
      <c r="S13" s="90">
        <f>IF(ISTEXT($R13),"",Computations!$E13+R13)</f>
        <v>0.013888888888888888</v>
      </c>
    </row>
    <row r="14" spans="1:19" s="65" customFormat="1" ht="12.75">
      <c r="A14" s="88">
        <f>Computations!A14</f>
        <v>3</v>
      </c>
      <c r="B14" s="89">
        <f>IF(ISTEXT(C14),"",Computations!B14)</f>
        <v>2</v>
      </c>
      <c r="C14" s="90">
        <f>IF(Computations!F14="closed",Computations!F13+Computations!C14,Computations!F14)</f>
        <v>0.38055555555555554</v>
      </c>
      <c r="D14" s="89">
        <f>IF(ISTEXT(A14),"",Computations!G14)</f>
        <v>0</v>
      </c>
      <c r="E14" s="88">
        <f>Computations!H14</f>
      </c>
      <c r="F14" s="88">
        <f>Computations!O14</f>
      </c>
      <c r="G14" s="90">
        <f>Computations!P14</f>
      </c>
      <c r="H14" s="88">
        <f>IF(ISTEXT(Computations!Q14),"",Computations!D14)</f>
        <v>10</v>
      </c>
      <c r="I14" s="90">
        <f>IF(Computations!$R14=1,Computations!Q14,"")</f>
      </c>
      <c r="J14" s="90">
        <f>IF(ISTEXT($I14),"",$I14+Computations!$E14)</f>
      </c>
      <c r="K14" s="90">
        <f>IF(Computations!$R14=2,Computations!Q14,"")</f>
      </c>
      <c r="L14" s="90">
        <f>IF(ISTEXT($K14),"",$K14+Computations!$E14)</f>
      </c>
      <c r="M14" s="90">
        <f>IF(Computations!$R14=3,Computations!Q14,"")</f>
        <v>0.38055555555555554</v>
      </c>
      <c r="N14" s="90">
        <f>IF(ISTEXT($M14),"",$M14+Computations!$E14)</f>
        <v>0.38749999999999996</v>
      </c>
      <c r="O14" s="90">
        <f>IF(Computations!$R14=4,Computations!Q14,"")</f>
      </c>
      <c r="P14" s="90">
        <f>IF(ISTEXT($O14),"",$O14+Computations!$E14)</f>
      </c>
      <c r="Q14" s="90">
        <f t="shared" si="0"/>
      </c>
      <c r="R14" s="90">
        <f>IF(F14="renege","",Computations!N14)</f>
        <v>0</v>
      </c>
      <c r="S14" s="90">
        <f>IF(ISTEXT($R14),"",Computations!$E14+R14)</f>
        <v>0.006944444444444444</v>
      </c>
    </row>
    <row r="15" spans="1:19" s="65" customFormat="1" ht="12.75">
      <c r="A15" s="88">
        <f>Computations!A15</f>
        <v>4</v>
      </c>
      <c r="B15" s="89">
        <f>IF(ISTEXT(C15),"",Computations!B15)</f>
        <v>1</v>
      </c>
      <c r="C15" s="90">
        <f>IF(Computations!F15="closed",Computations!F14+Computations!C15,Computations!F15)</f>
        <v>0.38125</v>
      </c>
      <c r="D15" s="89">
        <f>IF(ISTEXT(A15),"",Computations!G15)</f>
        <v>0</v>
      </c>
      <c r="E15" s="88">
        <f>Computations!H15</f>
      </c>
      <c r="F15" s="88">
        <f>Computations!O15</f>
      </c>
      <c r="G15" s="90">
        <f>Computations!P15</f>
      </c>
      <c r="H15" s="88">
        <f>IF(ISTEXT(Computations!Q15),"",Computations!D15)</f>
        <v>10</v>
      </c>
      <c r="I15" s="90">
        <f>IF(Computations!$R15=1,Computations!Q15,"")</f>
      </c>
      <c r="J15" s="90">
        <f>IF(ISTEXT($I15),"",$I15+Computations!$E15)</f>
      </c>
      <c r="K15" s="90">
        <f>IF(Computations!$R15=2,Computations!Q15,"")</f>
      </c>
      <c r="L15" s="90">
        <f>IF(ISTEXT($K15),"",$K15+Computations!$E15)</f>
      </c>
      <c r="M15" s="90">
        <f>IF(Computations!$R15=3,Computations!Q15,"")</f>
      </c>
      <c r="N15" s="90">
        <f>IF(ISTEXT($M15),"",$M15+Computations!$E15)</f>
      </c>
      <c r="O15" s="90">
        <f>IF(Computations!$R15=4,Computations!Q15,"")</f>
        <v>0.38125</v>
      </c>
      <c r="P15" s="90">
        <f>IF(ISTEXT($O15),"",$O15+Computations!$E15)</f>
        <v>0.3881944444444444</v>
      </c>
      <c r="Q15" s="90">
        <f t="shared" si="0"/>
      </c>
      <c r="R15" s="90">
        <f>IF(F15="renege","",Computations!N15)</f>
        <v>0</v>
      </c>
      <c r="S15" s="90">
        <f>IF(ISTEXT($R15),"",Computations!$E15+R15)</f>
        <v>0.006944444444444444</v>
      </c>
    </row>
    <row r="16" spans="1:19" s="65" customFormat="1" ht="12.75">
      <c r="A16" s="88">
        <f>Computations!A16</f>
        <v>5</v>
      </c>
      <c r="B16" s="89">
        <f>IF(ISTEXT(C16),"",Computations!B16)</f>
        <v>3</v>
      </c>
      <c r="C16" s="90">
        <f>IF(Computations!F16="closed",Computations!F15+Computations!C16,Computations!F16)</f>
        <v>0.3833333333333333</v>
      </c>
      <c r="D16" s="89">
        <f>IF(ISTEXT(A16),"",Computations!G16)</f>
        <v>0</v>
      </c>
      <c r="E16" s="88">
        <f>Computations!H16</f>
      </c>
      <c r="F16" s="88" t="str">
        <f>Computations!O16</f>
        <v>renege</v>
      </c>
      <c r="G16" s="90">
        <f>Computations!P16</f>
        <v>0.3847222222222222</v>
      </c>
      <c r="H16" s="88">
        <f>IF(ISTEXT(Computations!Q16),"",Computations!D16)</f>
      </c>
      <c r="I16" s="90">
        <f>IF(Computations!$R16=1,Computations!Q16,"")</f>
      </c>
      <c r="J16" s="90">
        <f>IF(ISTEXT($I16),"",$I16+Computations!$E16)</f>
      </c>
      <c r="K16" s="90">
        <f>IF(Computations!$R16=2,Computations!Q16,"")</f>
      </c>
      <c r="L16" s="90">
        <f>IF(ISTEXT($K16),"",$K16+Computations!$E16)</f>
      </c>
      <c r="M16" s="90">
        <f>IF(Computations!$R16=3,Computations!Q16,"")</f>
      </c>
      <c r="N16" s="90">
        <f>IF(ISTEXT($M16),"",$M16+Computations!$E16)</f>
      </c>
      <c r="O16" s="90">
        <f>IF(Computations!$R16=4,Computations!Q16,"")</f>
      </c>
      <c r="P16" s="90">
        <f>IF(ISTEXT($O16),"",$O16+Computations!$E16)</f>
      </c>
      <c r="Q16" s="90">
        <f t="shared" si="0"/>
        <v>0.001388888888888884</v>
      </c>
      <c r="R16" s="90">
        <f>IF(F16="renege","",Computations!N16)</f>
      </c>
      <c r="S16" s="90">
        <f>IF(ISTEXT($R16),"",Computations!$E16+R16)</f>
      </c>
    </row>
    <row r="17" spans="1:19" s="65" customFormat="1" ht="12.75">
      <c r="A17" s="88">
        <f>Computations!A17</f>
        <v>6</v>
      </c>
      <c r="B17" s="89">
        <f>IF(ISTEXT(C17),"",Computations!B17)</f>
        <v>1</v>
      </c>
      <c r="C17" s="90">
        <f>IF(Computations!F17="closed",Computations!F16+Computations!C17,Computations!F17)</f>
        <v>0.38402777777777775</v>
      </c>
      <c r="D17" s="89">
        <f>IF(ISTEXT(A17),"",Computations!G17)</f>
        <v>1</v>
      </c>
      <c r="E17" s="88" t="str">
        <f>Computations!H17</f>
        <v>balk</v>
      </c>
      <c r="F17" s="88">
        <f>Computations!O17</f>
      </c>
      <c r="G17" s="90">
        <f>Computations!P17</f>
      </c>
      <c r="H17" s="88">
        <f>IF(ISTEXT(Computations!Q17),"",Computations!D17)</f>
      </c>
      <c r="I17" s="90">
        <f>IF(Computations!$R17=1,Computations!Q17,"")</f>
      </c>
      <c r="J17" s="90">
        <f>IF(ISTEXT($I17),"",$I17+Computations!$E17)</f>
      </c>
      <c r="K17" s="90">
        <f>IF(Computations!$R17=2,Computations!Q17,"")</f>
      </c>
      <c r="L17" s="90">
        <f>IF(ISTEXT($K17),"",$K17+Computations!$E17)</f>
      </c>
      <c r="M17" s="90">
        <f>IF(Computations!$R17=3,Computations!Q17,"")</f>
      </c>
      <c r="N17" s="90">
        <f>IF(ISTEXT($M17),"",$M17+Computations!$E17)</f>
      </c>
      <c r="O17" s="90">
        <f>IF(Computations!$R17=4,Computations!Q17,"")</f>
      </c>
      <c r="P17" s="90">
        <f>IF(ISTEXT($O17),"",$O17+Computations!$E17)</f>
      </c>
      <c r="Q17" s="90">
        <f t="shared" si="0"/>
      </c>
      <c r="R17" s="90">
        <f>IF(F17="renege","",Computations!N17)</f>
      </c>
      <c r="S17" s="90">
        <f>IF(ISTEXT($R17),"",Computations!$E17+R17)</f>
      </c>
    </row>
    <row r="18" spans="1:19" s="65" customFormat="1" ht="12.75">
      <c r="A18" s="88">
        <f>Computations!A18</f>
        <v>7</v>
      </c>
      <c r="B18" s="89">
        <f>IF(ISTEXT(C18),"",Computations!B18)</f>
        <v>2</v>
      </c>
      <c r="C18" s="90">
        <f>IF(Computations!F18="closed",Computations!F17+Computations!C18,Computations!F18)</f>
        <v>0.38541666666666663</v>
      </c>
      <c r="D18" s="89">
        <f>IF(ISTEXT(A18),"",Computations!G18)</f>
        <v>0</v>
      </c>
      <c r="E18" s="88">
        <f>Computations!H18</f>
      </c>
      <c r="F18" s="88" t="str">
        <f>Computations!O18</f>
        <v>renege</v>
      </c>
      <c r="G18" s="90">
        <f>Computations!P18</f>
        <v>0.3868055555555555</v>
      </c>
      <c r="H18" s="88">
        <f>IF(ISTEXT(Computations!Q18),"",Computations!D18)</f>
      </c>
      <c r="I18" s="90">
        <f>IF(Computations!$R18=1,Computations!Q18,"")</f>
      </c>
      <c r="J18" s="90">
        <f>IF(ISTEXT($I18),"",$I18+Computations!$E18)</f>
      </c>
      <c r="K18" s="90">
        <f>IF(Computations!$R18=2,Computations!Q18,"")</f>
      </c>
      <c r="L18" s="90">
        <f>IF(ISTEXT($K18),"",$K18+Computations!$E18)</f>
      </c>
      <c r="M18" s="90">
        <f>IF(Computations!$R18=3,Computations!Q18,"")</f>
      </c>
      <c r="N18" s="90">
        <f>IF(ISTEXT($M18),"",$M18+Computations!$E18)</f>
      </c>
      <c r="O18" s="90">
        <f>IF(Computations!$R18=4,Computations!Q18,"")</f>
      </c>
      <c r="P18" s="90">
        <f>IF(ISTEXT($O18),"",$O18+Computations!$E18)</f>
      </c>
      <c r="Q18" s="90">
        <f t="shared" si="0"/>
        <v>0.001388888888888884</v>
      </c>
      <c r="R18" s="90">
        <f>IF(F18="renege","",Computations!N18)</f>
      </c>
      <c r="S18" s="90">
        <f>IF(ISTEXT($R18),"",Computations!$E18+R18)</f>
      </c>
    </row>
    <row r="19" spans="1:19" s="65" customFormat="1" ht="12.75">
      <c r="A19" s="88">
        <f>Computations!A19</f>
        <v>8</v>
      </c>
      <c r="B19" s="89">
        <f>IF(ISTEXT(C19),"",Computations!B19)</f>
        <v>2</v>
      </c>
      <c r="C19" s="90">
        <f>IF(Computations!F19="closed",Computations!F18+Computations!C19,Computations!F19)</f>
        <v>0.3868055555555555</v>
      </c>
      <c r="D19" s="89">
        <f>IF(ISTEXT(A19),"",Computations!G19)</f>
        <v>0</v>
      </c>
      <c r="E19" s="88">
        <f>Computations!H19</f>
      </c>
      <c r="F19" s="88">
        <f>Computations!O19</f>
      </c>
      <c r="G19" s="90">
        <f>Computations!P19</f>
      </c>
      <c r="H19" s="88">
        <f>IF(ISTEXT(Computations!Q19),"",Computations!D19)</f>
        <v>10</v>
      </c>
      <c r="I19" s="90">
        <f>IF(Computations!$R19=1,Computations!Q19,"")</f>
      </c>
      <c r="J19" s="90">
        <f>IF(ISTEXT($I19),"",$I19+Computations!$E19)</f>
      </c>
      <c r="K19" s="90">
        <f>IF(Computations!$R19=2,Computations!Q19,"")</f>
      </c>
      <c r="L19" s="90">
        <f>IF(ISTEXT($K19),"",$K19+Computations!$E19)</f>
      </c>
      <c r="M19" s="90">
        <f>IF(Computations!$R19=3,Computations!Q19,"")</f>
        <v>0.38749999999999996</v>
      </c>
      <c r="N19" s="90">
        <f>IF(ISTEXT($M19),"",$M19+Computations!$E19)</f>
        <v>0.3944444444444444</v>
      </c>
      <c r="O19" s="90">
        <f>IF(Computations!$R19=4,Computations!Q19,"")</f>
      </c>
      <c r="P19" s="90">
        <f>IF(ISTEXT($O19),"",$O19+Computations!$E19)</f>
      </c>
      <c r="Q19" s="90">
        <f t="shared" si="0"/>
      </c>
      <c r="R19" s="90">
        <f>IF(F19="renege","",Computations!N19)</f>
        <v>0.000694444444444442</v>
      </c>
      <c r="S19" s="90">
        <f>IF(ISTEXT($R19),"",Computations!$E19+R19)</f>
        <v>0.007638888888888886</v>
      </c>
    </row>
    <row r="20" spans="1:19" s="65" customFormat="1" ht="12.75">
      <c r="A20" s="88">
        <f>Computations!A20</f>
        <v>9</v>
      </c>
      <c r="B20" s="89">
        <f>IF(ISTEXT(C20),"",Computations!B20)</f>
        <v>1</v>
      </c>
      <c r="C20" s="90">
        <f>IF(Computations!F20="closed",Computations!F19+Computations!C20,Computations!F20)</f>
        <v>0.38749999999999996</v>
      </c>
      <c r="D20" s="89">
        <f>IF(ISTEXT(A20),"",Computations!G20)</f>
        <v>0</v>
      </c>
      <c r="E20" s="88">
        <f>Computations!H20</f>
      </c>
      <c r="F20" s="88">
        <f>Computations!O20</f>
      </c>
      <c r="G20" s="90">
        <f>Computations!P20</f>
      </c>
      <c r="H20" s="88">
        <f>IF(ISTEXT(Computations!Q20),"",Computations!D20)</f>
        <v>10</v>
      </c>
      <c r="I20" s="90">
        <f>IF(Computations!$R20=1,Computations!Q20,"")</f>
        <v>0.3875</v>
      </c>
      <c r="J20" s="90">
        <f>IF(ISTEXT($I20),"",$I20+Computations!$E20)</f>
        <v>0.39444444444444443</v>
      </c>
      <c r="K20" s="90">
        <f>IF(Computations!$R20=2,Computations!Q20,"")</f>
      </c>
      <c r="L20" s="90">
        <f>IF(ISTEXT($K20),"",$K20+Computations!$E20)</f>
      </c>
      <c r="M20" s="90">
        <f>IF(Computations!$R20=3,Computations!Q20,"")</f>
      </c>
      <c r="N20" s="90">
        <f>IF(ISTEXT($M20),"",$M20+Computations!$E20)</f>
      </c>
      <c r="O20" s="90">
        <f>IF(Computations!$R20=4,Computations!Q20,"")</f>
      </c>
      <c r="P20" s="90">
        <f>IF(ISTEXT($O20),"",$O20+Computations!$E20)</f>
      </c>
      <c r="Q20" s="90">
        <f t="shared" si="0"/>
      </c>
      <c r="R20" s="90">
        <f>IF(F20="renege","",Computations!N20)</f>
        <v>5.551115123125783E-17</v>
      </c>
      <c r="S20" s="90">
        <f>IF(ISTEXT($R20),"",Computations!$E20+R20)</f>
        <v>0.0069444444444445</v>
      </c>
    </row>
    <row r="21" spans="1:19" s="65" customFormat="1" ht="12.75">
      <c r="A21" s="88">
        <f>Computations!A21</f>
        <v>10</v>
      </c>
      <c r="B21" s="89">
        <f>IF(ISTEXT(C21),"",Computations!B21)</f>
        <v>1</v>
      </c>
      <c r="C21" s="90">
        <f>IF(Computations!F21="closed",Computations!F20+Computations!C21,Computations!F21)</f>
        <v>0.3881944444444444</v>
      </c>
      <c r="D21" s="89">
        <f>IF(ISTEXT(A21),"",Computations!G21)</f>
        <v>0</v>
      </c>
      <c r="E21" s="88">
        <f>Computations!H21</f>
      </c>
      <c r="F21" s="88">
        <f>Computations!O21</f>
      </c>
      <c r="G21" s="90">
        <f>Computations!P21</f>
      </c>
      <c r="H21" s="88">
        <f>IF(ISTEXT(Computations!Q21),"",Computations!D21)</f>
        <v>20</v>
      </c>
      <c r="I21" s="90">
        <f>IF(Computations!$R21=1,Computations!Q21,"")</f>
      </c>
      <c r="J21" s="90">
        <f>IF(ISTEXT($I21),"",$I21+Computations!$E21)</f>
      </c>
      <c r="K21" s="90">
        <f>IF(Computations!$R21=2,Computations!Q21,"")</f>
      </c>
      <c r="L21" s="90">
        <f>IF(ISTEXT($K21),"",$K21+Computations!$E21)</f>
      </c>
      <c r="M21" s="90">
        <f>IF(Computations!$R21=3,Computations!Q21,"")</f>
      </c>
      <c r="N21" s="90">
        <f>IF(ISTEXT($M21),"",$M21+Computations!$E21)</f>
      </c>
      <c r="O21" s="90">
        <f>IF(Computations!$R21=4,Computations!Q21,"")</f>
        <v>0.3881944444444444</v>
      </c>
      <c r="P21" s="90">
        <f>IF(ISTEXT($O21),"",$O21+Computations!$E21)</f>
        <v>0.4020833333333333</v>
      </c>
      <c r="Q21" s="90">
        <f t="shared" si="0"/>
      </c>
      <c r="R21" s="90">
        <f>IF(F21="renege","",Computations!N21)</f>
        <v>0</v>
      </c>
      <c r="S21" s="90">
        <f>IF(ISTEXT($R21),"",Computations!$E21+R21)</f>
        <v>0.013888888888888888</v>
      </c>
    </row>
    <row r="22" spans="1:19" s="65" customFormat="1" ht="12.75">
      <c r="A22" s="88">
        <f>Computations!A22</f>
        <v>11</v>
      </c>
      <c r="B22" s="89">
        <f>IF(ISTEXT(C22),"",Computations!B22)</f>
        <v>3</v>
      </c>
      <c r="C22" s="90">
        <f>IF(Computations!F22="closed",Computations!F21+Computations!C22,Computations!F22)</f>
        <v>0.3902777777777777</v>
      </c>
      <c r="D22" s="89">
        <f>IF(ISTEXT(A22),"",Computations!G22)</f>
        <v>0</v>
      </c>
      <c r="E22" s="88">
        <f>Computations!H22</f>
      </c>
      <c r="F22" s="88" t="str">
        <f>Computations!O22</f>
        <v>renege</v>
      </c>
      <c r="G22" s="90">
        <f>Computations!P22</f>
        <v>0.3916666666666666</v>
      </c>
      <c r="H22" s="88">
        <f>IF(ISTEXT(Computations!Q22),"",Computations!D22)</f>
      </c>
      <c r="I22" s="90">
        <f>IF(Computations!$R22=1,Computations!Q22,"")</f>
      </c>
      <c r="J22" s="90">
        <f>IF(ISTEXT($I22),"",$I22+Computations!$E22)</f>
      </c>
      <c r="K22" s="90">
        <f>IF(Computations!$R22=2,Computations!Q22,"")</f>
      </c>
      <c r="L22" s="90">
        <f>IF(ISTEXT($K22),"",$K22+Computations!$E22)</f>
      </c>
      <c r="M22" s="90">
        <f>IF(Computations!$R22=3,Computations!Q22,"")</f>
      </c>
      <c r="N22" s="90">
        <f>IF(ISTEXT($M22),"",$M22+Computations!$E22)</f>
      </c>
      <c r="O22" s="90">
        <f>IF(Computations!$R22=4,Computations!Q22,"")</f>
      </c>
      <c r="P22" s="90">
        <f>IF(ISTEXT($O22),"",$O22+Computations!$E22)</f>
      </c>
      <c r="Q22" s="90">
        <f t="shared" si="0"/>
        <v>0.001388888888888884</v>
      </c>
      <c r="R22" s="90">
        <f>IF(F22="renege","",Computations!N22)</f>
      </c>
      <c r="S22" s="90">
        <f>IF(ISTEXT($R22),"",Computations!$E22+R22)</f>
      </c>
    </row>
    <row r="23" spans="1:29" ht="12.75">
      <c r="A23" s="88">
        <f>Computations!A23</f>
        <v>12</v>
      </c>
      <c r="B23" s="89">
        <f>IF(ISTEXT(C23),"",Computations!B23)</f>
        <v>1</v>
      </c>
      <c r="C23" s="90">
        <f>IF(Computations!F23="closed",Computations!F22+Computations!C23,Computations!F23)</f>
        <v>0.39097222222222217</v>
      </c>
      <c r="D23" s="89">
        <f>IF(ISTEXT(A23),"",Computations!G23)</f>
        <v>1</v>
      </c>
      <c r="E23" s="88" t="str">
        <f>Computations!H23</f>
        <v>balk</v>
      </c>
      <c r="F23" s="88">
        <f>Computations!O23</f>
      </c>
      <c r="G23" s="90">
        <f>Computations!P23</f>
      </c>
      <c r="H23" s="88">
        <f>IF(ISTEXT(Computations!Q23),"",Computations!D23)</f>
      </c>
      <c r="I23" s="90">
        <f>IF(Computations!$R23=1,Computations!Q23,"")</f>
      </c>
      <c r="J23" s="90">
        <f>IF(ISTEXT($I23),"",$I23+Computations!$E23)</f>
      </c>
      <c r="K23" s="90">
        <f>IF(Computations!$R23=2,Computations!Q23,"")</f>
      </c>
      <c r="L23" s="90">
        <f>IF(ISTEXT($K23),"",$K23+Computations!$E23)</f>
      </c>
      <c r="M23" s="90">
        <f>IF(Computations!$R23=3,Computations!Q23,"")</f>
      </c>
      <c r="N23" s="90">
        <f>IF(ISTEXT($M23),"",$M23+Computations!$E23)</f>
      </c>
      <c r="O23" s="90">
        <f>IF(Computations!$R23=4,Computations!Q23,"")</f>
      </c>
      <c r="P23" s="90">
        <f>IF(ISTEXT($O23),"",$O23+Computations!$E23)</f>
      </c>
      <c r="Q23" s="90">
        <f t="shared" si="0"/>
      </c>
      <c r="R23" s="90">
        <f>IF(F23="renege","",Computations!N23)</f>
      </c>
      <c r="S23" s="90">
        <f>IF(ISTEXT($R23),"",Computations!$E23+R23)</f>
      </c>
      <c r="AC23" s="65"/>
    </row>
    <row r="24" spans="1:19" ht="12.75">
      <c r="A24" s="88">
        <f>Computations!A24</f>
        <v>13</v>
      </c>
      <c r="B24" s="89">
        <f>IF(ISTEXT(C24),"",Computations!B24)</f>
        <v>1</v>
      </c>
      <c r="C24" s="90">
        <f>IF(Computations!F24="closed",Computations!F23+Computations!C24,Computations!F24)</f>
        <v>0.3916666666666666</v>
      </c>
      <c r="D24" s="89">
        <f>IF(ISTEXT(A24),"",Computations!G24)</f>
        <v>0</v>
      </c>
      <c r="E24" s="88">
        <f>Computations!H24</f>
      </c>
      <c r="F24" s="88" t="str">
        <f>Computations!O24</f>
        <v>renege</v>
      </c>
      <c r="G24" s="90">
        <f>Computations!P24</f>
        <v>0.3930555555555555</v>
      </c>
      <c r="H24" s="88">
        <f>IF(ISTEXT(Computations!Q24),"",Computations!D24)</f>
      </c>
      <c r="I24" s="90">
        <f>IF(Computations!$R24=1,Computations!Q24,"")</f>
      </c>
      <c r="J24" s="90">
        <f>IF(ISTEXT($I24),"",$I24+Computations!$E24)</f>
      </c>
      <c r="K24" s="90">
        <f>IF(Computations!$R24=2,Computations!Q24,"")</f>
      </c>
      <c r="L24" s="90">
        <f>IF(ISTEXT($K24),"",$K24+Computations!$E24)</f>
      </c>
      <c r="M24" s="90">
        <f>IF(Computations!$R24=3,Computations!Q24,"")</f>
      </c>
      <c r="N24" s="90">
        <f>IF(ISTEXT($M24),"",$M24+Computations!$E24)</f>
      </c>
      <c r="O24" s="90">
        <f>IF(Computations!$R24=4,Computations!Q24,"")</f>
      </c>
      <c r="P24" s="90">
        <f>IF(ISTEXT($O24),"",$O24+Computations!$E24)</f>
      </c>
      <c r="Q24" s="90">
        <f t="shared" si="0"/>
        <v>0.001388888888888884</v>
      </c>
      <c r="R24" s="90">
        <f>IF(F24="renege","",Computations!N24)</f>
      </c>
      <c r="S24" s="90">
        <f>IF(ISTEXT($R24),"",Computations!$E24+R24)</f>
      </c>
    </row>
    <row r="25" spans="1:19" ht="12.75">
      <c r="A25" s="88">
        <f>Computations!A25</f>
        <v>14</v>
      </c>
      <c r="B25" s="89">
        <f>IF(ISTEXT(C25),"",Computations!B25)</f>
        <v>1</v>
      </c>
      <c r="C25" s="90">
        <f>IF(Computations!F25="closed",Computations!F24+Computations!C25,Computations!F25)</f>
        <v>0.39236111111111105</v>
      </c>
      <c r="D25" s="89">
        <f>IF(ISTEXT(A25),"",Computations!G25)</f>
        <v>1</v>
      </c>
      <c r="E25" s="88" t="str">
        <f>Computations!H25</f>
        <v>balk</v>
      </c>
      <c r="F25" s="88">
        <f>Computations!O25</f>
      </c>
      <c r="G25" s="90">
        <f>Computations!P25</f>
      </c>
      <c r="H25" s="88">
        <f>IF(ISTEXT(Computations!Q25),"",Computations!D25)</f>
      </c>
      <c r="I25" s="90">
        <f>IF(Computations!$R25=1,Computations!Q25,"")</f>
      </c>
      <c r="J25" s="90">
        <f>IF(ISTEXT($I25),"",$I25+Computations!$E25)</f>
      </c>
      <c r="K25" s="90">
        <f>IF(Computations!$R25=2,Computations!Q25,"")</f>
      </c>
      <c r="L25" s="90">
        <f>IF(ISTEXT($K25),"",$K25+Computations!$E25)</f>
      </c>
      <c r="M25" s="90">
        <f>IF(Computations!$R25=3,Computations!Q25,"")</f>
      </c>
      <c r="N25" s="90">
        <f>IF(ISTEXT($M25),"",$M25+Computations!$E25)</f>
      </c>
      <c r="O25" s="90">
        <f>IF(Computations!$R25=4,Computations!Q25,"")</f>
      </c>
      <c r="P25" s="90">
        <f>IF(ISTEXT($O25),"",$O25+Computations!$E25)</f>
      </c>
      <c r="Q25" s="90">
        <f t="shared" si="0"/>
      </c>
      <c r="R25" s="90">
        <f>IF(F25="renege","",Computations!N25)</f>
      </c>
      <c r="S25" s="90">
        <f>IF(ISTEXT($R25),"",Computations!$E25+R25)</f>
      </c>
    </row>
    <row r="26" spans="1:19" ht="12.75">
      <c r="A26" s="88">
        <f>Computations!A26</f>
        <v>15</v>
      </c>
      <c r="B26" s="89">
        <f>IF(ISTEXT(C26),"",Computations!B26)</f>
        <v>1</v>
      </c>
      <c r="C26" s="90">
        <f>IF(Computations!F26="closed",Computations!F25+Computations!C26,Computations!F26)</f>
        <v>0.3930555555555555</v>
      </c>
      <c r="D26" s="89">
        <f>IF(ISTEXT(A26),"",Computations!G26)</f>
        <v>0</v>
      </c>
      <c r="E26" s="88">
        <f>Computations!H26</f>
      </c>
      <c r="F26" s="88">
        <f>Computations!O26</f>
      </c>
      <c r="G26" s="90">
        <f>Computations!P26</f>
      </c>
      <c r="H26" s="88">
        <f>IF(ISTEXT(Computations!Q26),"",Computations!D26)</f>
        <v>10</v>
      </c>
      <c r="I26" s="90">
        <f>IF(Computations!$R26=1,Computations!Q26,"")</f>
      </c>
      <c r="J26" s="90">
        <f>IF(ISTEXT($I26),"",$I26+Computations!$E26)</f>
      </c>
      <c r="K26" s="90">
        <f>IF(Computations!$R26=2,Computations!Q26,"")</f>
        <v>0.39305555555555555</v>
      </c>
      <c r="L26" s="90">
        <f>IF(ISTEXT($K26),"",$K26+Computations!$E26)</f>
        <v>0.39999999999999997</v>
      </c>
      <c r="M26" s="90">
        <f>IF(Computations!$R26=3,Computations!Q26,"")</f>
      </c>
      <c r="N26" s="90">
        <f>IF(ISTEXT($M26),"",$M26+Computations!$E26)</f>
      </c>
      <c r="O26" s="90">
        <f>IF(Computations!$R26=4,Computations!Q26,"")</f>
      </c>
      <c r="P26" s="90">
        <f>IF(ISTEXT($O26),"",$O26+Computations!$E26)</f>
      </c>
      <c r="Q26" s="90">
        <f t="shared" si="0"/>
      </c>
      <c r="R26" s="90">
        <f>IF(F26="renege","",Computations!N26)</f>
        <v>5.551115123125783E-17</v>
      </c>
      <c r="S26" s="90">
        <f>IF(ISTEXT($R26),"",Computations!$E26+R26)</f>
        <v>0.0069444444444445</v>
      </c>
    </row>
    <row r="27" spans="5:9" ht="12.75">
      <c r="E27" s="65"/>
      <c r="F27" s="65"/>
      <c r="G27" s="85"/>
      <c r="I27" s="85"/>
    </row>
    <row r="28" spans="12:25" ht="12.75">
      <c r="L28" s="12"/>
      <c r="M28" s="12"/>
      <c r="N28" s="12"/>
      <c r="O28" s="12"/>
      <c r="P28" s="12"/>
      <c r="Q28" s="85"/>
      <c r="Y28" s="12"/>
    </row>
    <row r="29" spans="9:27" ht="12.75">
      <c r="I29" s="86"/>
      <c r="AA29" s="78"/>
    </row>
    <row r="31" ht="12.75">
      <c r="Y31" s="12"/>
    </row>
    <row r="32" spans="8:25" ht="12.75">
      <c r="H32" s="87"/>
      <c r="Y32" s="12"/>
    </row>
    <row r="33" ht="12.75">
      <c r="Y33" s="12"/>
    </row>
    <row r="34" ht="12.75">
      <c r="Y34" s="12"/>
    </row>
    <row r="35" ht="12.75">
      <c r="Y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57421875" style="11" customWidth="1"/>
    <col min="2" max="2" width="13.7109375" style="66" customWidth="1"/>
    <col min="3" max="3" width="12.851562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12" width="10.57421875" style="51" customWidth="1"/>
    <col min="13" max="13" width="11.7109375" style="51" customWidth="1"/>
    <col min="14" max="14" width="10.57421875" style="51" customWidth="1"/>
    <col min="15" max="15" width="10.00390625" style="21" customWidth="1"/>
    <col min="16" max="16" width="9.140625" style="53" customWidth="1"/>
    <col min="17" max="17" width="11.7109375" style="53" customWidth="1"/>
    <col min="18" max="18" width="8.00390625" style="51" customWidth="1"/>
    <col min="19" max="22" width="9.140625" style="13" customWidth="1"/>
    <col min="23" max="16384" width="9.140625" style="52" customWidth="1"/>
  </cols>
  <sheetData>
    <row r="1" spans="1:5" ht="12.75">
      <c r="A1" s="13"/>
      <c r="B1" s="48"/>
      <c r="C1" s="49" t="s">
        <v>38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17" ht="12.75">
      <c r="A3" s="13"/>
      <c r="B3" s="48"/>
      <c r="D3" s="50"/>
      <c r="E3" s="53"/>
      <c r="Q3" s="54"/>
    </row>
    <row r="4" spans="1:5" ht="12.75">
      <c r="A4" s="13"/>
      <c r="B4" s="48"/>
      <c r="D4" s="50"/>
      <c r="E4" s="53"/>
    </row>
    <row r="5" spans="2:17" ht="12.75">
      <c r="B5" s="55"/>
      <c r="D5" s="50"/>
      <c r="E5" s="53"/>
      <c r="Q5" s="54"/>
    </row>
    <row r="6" spans="1:18" s="57" customFormat="1" ht="12.75">
      <c r="A6" s="14"/>
      <c r="B6" s="56" t="s">
        <v>39</v>
      </c>
      <c r="D6" s="56" t="s">
        <v>11</v>
      </c>
      <c r="G6" s="58" t="s">
        <v>16</v>
      </c>
      <c r="H6" s="58"/>
      <c r="I6" s="58" t="s">
        <v>40</v>
      </c>
      <c r="J6" s="58" t="s">
        <v>40</v>
      </c>
      <c r="K6" s="58" t="s">
        <v>40</v>
      </c>
      <c r="L6" s="58" t="s">
        <v>40</v>
      </c>
      <c r="M6" s="58"/>
      <c r="N6" s="58" t="s">
        <v>40</v>
      </c>
      <c r="O6" s="58"/>
      <c r="P6" s="54"/>
      <c r="Q6" s="54"/>
      <c r="R6" s="58"/>
    </row>
    <row r="7" spans="1:20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41</v>
      </c>
      <c r="F7" s="58" t="s">
        <v>18</v>
      </c>
      <c r="G7" s="59" t="s">
        <v>19</v>
      </c>
      <c r="H7" s="58"/>
      <c r="I7" s="58" t="s">
        <v>42</v>
      </c>
      <c r="J7" s="58" t="s">
        <v>43</v>
      </c>
      <c r="K7" s="58" t="s">
        <v>44</v>
      </c>
      <c r="L7" s="58" t="s">
        <v>45</v>
      </c>
      <c r="M7" s="54" t="s">
        <v>46</v>
      </c>
      <c r="N7" s="58" t="s">
        <v>25</v>
      </c>
      <c r="O7" s="58"/>
      <c r="P7" s="60" t="s">
        <v>20</v>
      </c>
      <c r="Q7" s="58" t="s">
        <v>47</v>
      </c>
      <c r="R7" s="58" t="s">
        <v>48</v>
      </c>
      <c r="S7" s="58" t="s">
        <v>11</v>
      </c>
      <c r="T7" s="57" t="s">
        <v>104</v>
      </c>
    </row>
    <row r="8" spans="1:20" s="57" customFormat="1" ht="12.75">
      <c r="A8" s="59" t="s">
        <v>27</v>
      </c>
      <c r="B8" s="56" t="s">
        <v>49</v>
      </c>
      <c r="C8" s="58" t="s">
        <v>50</v>
      </c>
      <c r="D8" s="56" t="s">
        <v>49</v>
      </c>
      <c r="E8" s="58" t="s">
        <v>14</v>
      </c>
      <c r="F8" s="58" t="s">
        <v>14</v>
      </c>
      <c r="G8" s="59" t="s">
        <v>28</v>
      </c>
      <c r="H8" s="58" t="s">
        <v>29</v>
      </c>
      <c r="I8" s="58" t="s">
        <v>14</v>
      </c>
      <c r="J8" s="58" t="s">
        <v>14</v>
      </c>
      <c r="K8" s="58" t="s">
        <v>14</v>
      </c>
      <c r="L8" s="58" t="s">
        <v>14</v>
      </c>
      <c r="M8" s="54" t="s">
        <v>1</v>
      </c>
      <c r="N8" s="58" t="s">
        <v>14</v>
      </c>
      <c r="O8" s="58" t="s">
        <v>30</v>
      </c>
      <c r="P8" s="60" t="s">
        <v>31</v>
      </c>
      <c r="Q8" s="58" t="s">
        <v>1</v>
      </c>
      <c r="R8" s="58" t="s">
        <v>51</v>
      </c>
      <c r="S8" s="58" t="s">
        <v>14</v>
      </c>
      <c r="T8" s="57" t="s">
        <v>34</v>
      </c>
    </row>
    <row r="9" spans="1:22" s="57" customFormat="1" ht="13.5" thickBot="1">
      <c r="A9" s="61"/>
      <c r="B9" s="62" t="s">
        <v>15</v>
      </c>
      <c r="C9" s="63" t="s">
        <v>52</v>
      </c>
      <c r="D9" s="62" t="s">
        <v>15</v>
      </c>
      <c r="E9" s="63" t="s">
        <v>52</v>
      </c>
      <c r="F9" s="63" t="s">
        <v>35</v>
      </c>
      <c r="G9" s="61" t="s">
        <v>36</v>
      </c>
      <c r="H9" s="63"/>
      <c r="I9" s="63" t="s">
        <v>35</v>
      </c>
      <c r="J9" s="63" t="s">
        <v>35</v>
      </c>
      <c r="K9" s="63" t="s">
        <v>35</v>
      </c>
      <c r="L9" s="63" t="s">
        <v>35</v>
      </c>
      <c r="M9" s="63" t="s">
        <v>35</v>
      </c>
      <c r="N9" s="63" t="s">
        <v>35</v>
      </c>
      <c r="O9" s="63"/>
      <c r="P9" s="64" t="s">
        <v>35</v>
      </c>
      <c r="Q9" s="63" t="s">
        <v>35</v>
      </c>
      <c r="R9" s="63"/>
      <c r="S9" s="58" t="s">
        <v>103</v>
      </c>
      <c r="V9" s="98" t="s">
        <v>105</v>
      </c>
    </row>
    <row r="10" spans="1:19" ht="12.75">
      <c r="A10" s="65"/>
      <c r="C10" s="51"/>
      <c r="D10" s="67"/>
      <c r="E10" s="51"/>
      <c r="F10" s="51"/>
      <c r="S10" s="21"/>
    </row>
    <row r="11" spans="1:25" ht="12.75">
      <c r="A11" s="65" t="s">
        <v>37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S11" s="21"/>
      <c r="V11" s="13" t="s">
        <v>106</v>
      </c>
      <c r="W11" s="52" t="s">
        <v>107</v>
      </c>
      <c r="X11" s="52" t="s">
        <v>108</v>
      </c>
      <c r="Y11" s="52" t="s">
        <v>109</v>
      </c>
    </row>
    <row r="12" spans="1:25" ht="12.75">
      <c r="A12" s="88">
        <f>IF(ISTEXT(F12),"closed",1)</f>
        <v>1</v>
      </c>
      <c r="B12" s="67">
        <f ca="1">VLOOKUP(RAND(),arrival,3)</f>
        <v>3</v>
      </c>
      <c r="C12" s="91">
        <f>B12/1440</f>
        <v>0.0020833333333333333</v>
      </c>
      <c r="D12" s="67">
        <f ca="1">VLOOKUP(RAND(),service,3)</f>
        <v>15</v>
      </c>
      <c r="E12" s="91">
        <f>D12/1440</f>
        <v>0.010416666666666666</v>
      </c>
      <c r="F12" s="91">
        <f>IF(ISTEXT(F11),"",IF(F11+C12&gt;=close_time,"closed",F11+C12))</f>
        <v>0.3770833333333333</v>
      </c>
      <c r="G12" s="95">
        <f>COUNTIF(Q$11:$Q11,"&gt;"&amp;F12)+COUNTIF(P$11:P11,"&gt;"&amp;F12)</f>
        <v>0</v>
      </c>
      <c r="H12" s="93">
        <f>IF(G12&gt;=balk_num,"balk","")</f>
      </c>
      <c r="I12" s="91">
        <f>IF(OR(H12="balk",ISTEXT(F12)),"",MAX(Simulation!J$11:J11,start_time,$F12))</f>
        <v>0.3770833333333333</v>
      </c>
      <c r="J12" s="91">
        <f>IF(ISTEXT($I12),"",MAX(Simulation!L$11:L11,start_time,$F12))</f>
        <v>0.3770833333333333</v>
      </c>
      <c r="K12" s="91">
        <f>IF(ISTEXT($I12),"",MAX(Simulation!N$11:N11,start_time,$F12))</f>
        <v>0.3770833333333333</v>
      </c>
      <c r="L12" s="91">
        <f>IF(ISTEXT($I12),"",MAX(Simulation!P$11:P11,start_time,$F12))</f>
        <v>0.3770833333333333</v>
      </c>
      <c r="M12" s="91">
        <f>IF(ISTEXT(I12),"",MIN(I12:L12))</f>
        <v>0.3770833333333333</v>
      </c>
      <c r="N12" s="91">
        <f>IF(ISTEXT(I12),"",M12-F12)</f>
        <v>0</v>
      </c>
      <c r="O12" s="94">
        <f>IF(ISTEXT(I12),"",IF(N12&gt;renege_time,"renege",""))</f>
      </c>
      <c r="P12" s="91">
        <f aca="true" t="shared" si="0" ref="P12:P26">IF(O12="renege",F12+renege_time,"")</f>
      </c>
      <c r="Q12" s="91">
        <f>IF(OR(O12="renege",ISTEXT(I12)),"",M12)</f>
        <v>0.3770833333333333</v>
      </c>
      <c r="R12" s="93">
        <f>IF(ISTEXT(Q12),"",MATCH(Q12,I12:L12,0))</f>
        <v>1</v>
      </c>
      <c r="S12" s="97">
        <f>IF(OR(H12="balk",O12="renege"),"",E12)</f>
        <v>0.010416666666666666</v>
      </c>
      <c r="T12" s="77">
        <f>IF(Simulation!F12="renege",Simulation!Q12,Simulation!R12)</f>
        <v>0</v>
      </c>
      <c r="V12" s="77">
        <f>IF(ISNUMBER(SMALL(Simulation!$I$12:Simulation!$J$26,1)),SMALL(Simulation!$I$12:Simulation!$J$26,1),1)</f>
        <v>0.3770833333333333</v>
      </c>
      <c r="W12" s="99">
        <f>IF(ISNUMBER(SMALL(Simulation!$K$12:Simulation!$L$26,1)),SMALL(Simulation!$K$12:Simulation!$L$26,1),1)</f>
        <v>0.37916666666666665</v>
      </c>
      <c r="X12" s="99">
        <f>IF(ISNUMBER(SMALL(Simulation!$M$12:Simulation!$N$26,1)),SMALL(Simulation!$M$12:Simulation!$N$26,1),1)</f>
        <v>0.38055555555555554</v>
      </c>
      <c r="Y12" s="99">
        <f>IF(ISNUMBER(SMALL(Simulation!$O$12:Simulation!$P$26,1)),SMALL(Simulation!$O$12:Simulation!$P$26,1),1)</f>
        <v>0.38125</v>
      </c>
    </row>
    <row r="13" spans="1:25" ht="12.75">
      <c r="A13" s="88">
        <f>IF(ISTEXT(F13),"closed",A12+1)</f>
        <v>2</v>
      </c>
      <c r="B13" s="67">
        <f aca="true" ca="1" t="shared" si="1" ref="B13:B26">VLOOKUP(RAND(),arrival,3)</f>
        <v>3</v>
      </c>
      <c r="C13" s="91">
        <f aca="true" t="shared" si="2" ref="C13:C26">B13/1440</f>
        <v>0.0020833333333333333</v>
      </c>
      <c r="D13" s="67">
        <f aca="true" ca="1" t="shared" si="3" ref="D13:D26">VLOOKUP(RAND(),service,3)</f>
        <v>20</v>
      </c>
      <c r="E13" s="91">
        <f aca="true" t="shared" si="4" ref="E13:E26">D13/1440</f>
        <v>0.013888888888888888</v>
      </c>
      <c r="F13" s="91">
        <f aca="true" t="shared" si="5" ref="F13:F26">IF(ISTEXT(F12),"",IF(F12+C13&gt;=close_time,"closed",F12+C13))</f>
        <v>0.37916666666666665</v>
      </c>
      <c r="G13" s="95">
        <f>COUNTIF(Q$11:$Q12,"&gt;"&amp;F13)+COUNTIF(P$11:P12,"&gt;"&amp;F13)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0.3875</v>
      </c>
      <c r="J13" s="91">
        <f>IF(ISTEXT(I13),"",MAX(Simulation!L$11:L12,start_time,$F13))</f>
        <v>0.37916666666666665</v>
      </c>
      <c r="K13" s="91">
        <f>IF(ISTEXT($I13),"",MAX(Simulation!N$11:N12,start_time,$F13))</f>
        <v>0.37916666666666665</v>
      </c>
      <c r="L13" s="91">
        <f>IF(ISTEXT($I13),"",MAX(Simulation!P$11:P12,start_time,$F13))</f>
        <v>0.37916666666666665</v>
      </c>
      <c r="M13" s="91">
        <f aca="true" t="shared" si="7" ref="M13:M26">IF(ISTEXT(I13),"",MIN(I13:L13))</f>
        <v>0.37916666666666665</v>
      </c>
      <c r="N13" s="91">
        <f aca="true" t="shared" si="8" ref="N13:N26">IF(ISTEXT(I13),"",M13-F13)</f>
        <v>0</v>
      </c>
      <c r="O13" s="94">
        <f aca="true" t="shared" si="9" ref="O13:O26">IF(ISTEXT(I13),"",IF(N13&gt;renege_time,"renege",""))</f>
      </c>
      <c r="P13" s="91">
        <f t="shared" si="0"/>
      </c>
      <c r="Q13" s="91">
        <f aca="true" t="shared" si="10" ref="Q13:Q26">IF(OR(O13="renege",ISTEXT(I13)),"",M13)</f>
        <v>0.37916666666666665</v>
      </c>
      <c r="R13" s="93">
        <f aca="true" t="shared" si="11" ref="R13:R26">IF(ISTEXT(Q13),"",MATCH(Q13,I13:L13,0))</f>
        <v>2</v>
      </c>
      <c r="S13" s="97">
        <f>IF(OR(H13="balk",O13="renege"),"",E13)</f>
        <v>0.013888888888888888</v>
      </c>
      <c r="T13" s="77">
        <f>IF(Simulation!F13="renege",Simulation!Q13,Simulation!R13)</f>
        <v>0</v>
      </c>
      <c r="V13" s="77">
        <f>IF(ISNUMBER(SMALL(Simulation!$I$12:Simulation!$J$26,2)),SMALL(Simulation!$I$12:Simulation!$J$26,2),1)</f>
        <v>0.3875</v>
      </c>
      <c r="W13" s="99">
        <f>IF(ISNUMBER(SMALL(Simulation!$K$12:Simulation!$L$26,2)),SMALL(Simulation!$K$12:Simulation!$L$26,2),1)</f>
        <v>0.39305555555555555</v>
      </c>
      <c r="X13" s="99">
        <f>IF(ISNUMBER(SMALL(Simulation!$M$12:Simulation!$N$26,2)),SMALL(Simulation!$M$12:Simulation!$N$26,2),1)</f>
        <v>0.38749999999999996</v>
      </c>
      <c r="Y13" s="99">
        <f>IF(ISNUMBER(SMALL(Simulation!$O$12:Simulation!$P$26,2)),SMALL(Simulation!$O$12:Simulation!$P$26,2),1)</f>
        <v>0.3881944444444444</v>
      </c>
    </row>
    <row r="14" spans="1:25" ht="12.75">
      <c r="A14" s="88">
        <f aca="true" t="shared" si="12" ref="A14:A26">IF(ISTEXT(F14),"closed",A13+1)</f>
        <v>3</v>
      </c>
      <c r="B14" s="67">
        <f ca="1" t="shared" si="1"/>
        <v>2</v>
      </c>
      <c r="C14" s="91">
        <f t="shared" si="2"/>
        <v>0.001388888888888889</v>
      </c>
      <c r="D14" s="67">
        <f ca="1" t="shared" si="3"/>
        <v>10</v>
      </c>
      <c r="E14" s="91">
        <f t="shared" si="4"/>
        <v>0.006944444444444444</v>
      </c>
      <c r="F14" s="91">
        <f t="shared" si="5"/>
        <v>0.38055555555555554</v>
      </c>
      <c r="G14" s="95">
        <f>COUNTIF(Q$11:$Q13,"&gt;"&amp;F14)+COUNTIF(P$11:P13,"&gt;"&amp;F14)</f>
        <v>0</v>
      </c>
      <c r="H14" s="93">
        <f t="shared" si="6"/>
      </c>
      <c r="I14" s="91">
        <f>IF(OR(H14="balk",ISTEXT(F14)),"",MAX(Simulation!J$11:J13,start_time,$F14))</f>
        <v>0.3875</v>
      </c>
      <c r="J14" s="91">
        <f>IF(ISTEXT(I14),"",MAX(Simulation!L$11:L13,start_time,$F14))</f>
        <v>0.39305555555555555</v>
      </c>
      <c r="K14" s="91">
        <f>IF(ISTEXT($I14),"",MAX(Simulation!N$11:N13,start_time,$F14))</f>
        <v>0.38055555555555554</v>
      </c>
      <c r="L14" s="91">
        <f>IF(ISTEXT($I14),"",MAX(Simulation!P$11:P13,start_time,$F14))</f>
        <v>0.38055555555555554</v>
      </c>
      <c r="M14" s="91">
        <f t="shared" si="7"/>
        <v>0.38055555555555554</v>
      </c>
      <c r="N14" s="91">
        <f t="shared" si="8"/>
        <v>0</v>
      </c>
      <c r="O14" s="94">
        <f t="shared" si="9"/>
      </c>
      <c r="P14" s="91">
        <f t="shared" si="0"/>
      </c>
      <c r="Q14" s="91">
        <f t="shared" si="10"/>
        <v>0.38055555555555554</v>
      </c>
      <c r="R14" s="93">
        <f t="shared" si="11"/>
        <v>3</v>
      </c>
      <c r="S14" s="97">
        <f>IF(OR(H14="balk",O14="renege"),"",E14)</f>
        <v>0.006944444444444444</v>
      </c>
      <c r="T14" s="77">
        <f>IF(Simulation!F14="renege",Simulation!Q14,Simulation!R14)</f>
        <v>0</v>
      </c>
      <c r="V14" s="77">
        <f>IF(ISNUMBER(SMALL(Simulation!$I$12:Simulation!$J$26,3)),SMALL(Simulation!$I$12:Simulation!$J$26,3),1)</f>
        <v>0.3875</v>
      </c>
      <c r="W14" s="99">
        <f>IF(ISNUMBER(SMALL(Simulation!$K$12:Simulation!$L$26,3)),SMALL(Simulation!$K$12:Simulation!$L$26,3),1)</f>
        <v>0.39305555555555555</v>
      </c>
      <c r="X14" s="99">
        <f>IF(ISNUMBER(SMALL(Simulation!$M$12:Simulation!$N$26,3)),SMALL(Simulation!$M$12:Simulation!$N$26,3),1)</f>
        <v>0.38749999999999996</v>
      </c>
      <c r="Y14" s="99">
        <f>IF(ISNUMBER(SMALL(Simulation!$O$12:Simulation!$P$26,3)),SMALL(Simulation!$O$12:Simulation!$P$26,3),1)</f>
        <v>0.3881944444444444</v>
      </c>
    </row>
    <row r="15" spans="1:25" ht="12.75">
      <c r="A15" s="88">
        <f t="shared" si="12"/>
        <v>4</v>
      </c>
      <c r="B15" s="67">
        <f ca="1" t="shared" si="1"/>
        <v>1</v>
      </c>
      <c r="C15" s="91">
        <f t="shared" si="2"/>
        <v>0.0006944444444444445</v>
      </c>
      <c r="D15" s="67">
        <f ca="1" t="shared" si="3"/>
        <v>10</v>
      </c>
      <c r="E15" s="91">
        <f t="shared" si="4"/>
        <v>0.006944444444444444</v>
      </c>
      <c r="F15" s="91">
        <f t="shared" si="5"/>
        <v>0.38125</v>
      </c>
      <c r="G15" s="95">
        <f>COUNTIF(Q$11:$Q14,"&gt;"&amp;F15)+COUNTIF(P$11:P14,"&gt;"&amp;F15)</f>
        <v>0</v>
      </c>
      <c r="H15" s="93">
        <f t="shared" si="6"/>
      </c>
      <c r="I15" s="91">
        <f>IF(OR(H15="balk",ISTEXT(F15)),"",MAX(Simulation!J$11:J14,start_time,$F15))</f>
        <v>0.3875</v>
      </c>
      <c r="J15" s="91">
        <f>IF(ISTEXT(I15),"",MAX(Simulation!L$11:L14,start_time,$F15))</f>
        <v>0.39305555555555555</v>
      </c>
      <c r="K15" s="91">
        <f>IF(ISTEXT($I15),"",MAX(Simulation!N$11:N14,start_time,$F15))</f>
        <v>0.38749999999999996</v>
      </c>
      <c r="L15" s="91">
        <f>IF(ISTEXT($I15),"",MAX(Simulation!P$11:P14,start_time,$F15))</f>
        <v>0.38125</v>
      </c>
      <c r="M15" s="91">
        <f t="shared" si="7"/>
        <v>0.38125</v>
      </c>
      <c r="N15" s="91">
        <f t="shared" si="8"/>
        <v>0</v>
      </c>
      <c r="O15" s="94">
        <f t="shared" si="9"/>
      </c>
      <c r="P15" s="91">
        <f t="shared" si="0"/>
      </c>
      <c r="Q15" s="91">
        <f t="shared" si="10"/>
        <v>0.38125</v>
      </c>
      <c r="R15" s="93">
        <f t="shared" si="11"/>
        <v>4</v>
      </c>
      <c r="S15" s="97">
        <f>IF(OR(H15="balk",O15="renege"),"",E15)</f>
        <v>0.006944444444444444</v>
      </c>
      <c r="T15" s="77">
        <f>IF(Simulation!F15="renege",Simulation!Q15,Simulation!R15)</f>
        <v>0</v>
      </c>
      <c r="V15" s="77">
        <f>IF(ISNUMBER(SMALL(Simulation!$I$12:Simulation!$J$26,4)),SMALL(Simulation!$I$12:Simulation!$J$26,4),1)</f>
        <v>0.39444444444444443</v>
      </c>
      <c r="W15" s="99">
        <f>IF(ISNUMBER(SMALL(Simulation!$K$12:Simulation!$L$26,4)),SMALL(Simulation!$K$12:Simulation!$L$26,4),1)</f>
        <v>0.39999999999999997</v>
      </c>
      <c r="X15" s="99">
        <f>IF(ISNUMBER(SMALL(Simulation!$M$12:Simulation!$N$26,4)),SMALL(Simulation!$M$12:Simulation!$N$26,4),1)</f>
        <v>0.3944444444444444</v>
      </c>
      <c r="Y15" s="99">
        <f>IF(ISNUMBER(SMALL(Simulation!$O$12:Simulation!$P$26,4)),SMALL(Simulation!$O$12:Simulation!$P$26,4),1)</f>
        <v>0.4020833333333333</v>
      </c>
    </row>
    <row r="16" spans="1:25" ht="12.75">
      <c r="A16" s="88">
        <f t="shared" si="12"/>
        <v>5</v>
      </c>
      <c r="B16" s="67">
        <f ca="1" t="shared" si="1"/>
        <v>3</v>
      </c>
      <c r="C16" s="91">
        <f t="shared" si="2"/>
        <v>0.0020833333333333333</v>
      </c>
      <c r="D16" s="67">
        <f ca="1" t="shared" si="3"/>
        <v>15</v>
      </c>
      <c r="E16" s="91">
        <f t="shared" si="4"/>
        <v>0.010416666666666666</v>
      </c>
      <c r="F16" s="91">
        <f t="shared" si="5"/>
        <v>0.3833333333333333</v>
      </c>
      <c r="G16" s="95">
        <f>COUNTIF(Q$11:$Q15,"&gt;"&amp;F16)+COUNTIF(P$11:P15,"&gt;"&amp;F16)</f>
        <v>0</v>
      </c>
      <c r="H16" s="93">
        <f t="shared" si="6"/>
      </c>
      <c r="I16" s="91">
        <f>IF(OR(H16="balk",ISTEXT(F16)),"",MAX(Simulation!J$11:J15,start_time,$F16))</f>
        <v>0.3875</v>
      </c>
      <c r="J16" s="91">
        <f>IF(ISTEXT(I16),"",MAX(Simulation!L$11:L15,start_time,$F16))</f>
        <v>0.39305555555555555</v>
      </c>
      <c r="K16" s="91">
        <f>IF(ISTEXT($I16),"",MAX(Simulation!N$11:N15,start_time,$F16))</f>
        <v>0.38749999999999996</v>
      </c>
      <c r="L16" s="91">
        <f>IF(ISTEXT($I16),"",MAX(Simulation!P$11:P15,start_time,$F16))</f>
        <v>0.3881944444444444</v>
      </c>
      <c r="M16" s="91">
        <f t="shared" si="7"/>
        <v>0.38749999999999996</v>
      </c>
      <c r="N16" s="91">
        <f t="shared" si="8"/>
        <v>0.004166666666666652</v>
      </c>
      <c r="O16" s="94" t="str">
        <f t="shared" si="9"/>
        <v>renege</v>
      </c>
      <c r="P16" s="91">
        <f t="shared" si="0"/>
        <v>0.3847222222222222</v>
      </c>
      <c r="Q16" s="91">
        <f t="shared" si="10"/>
      </c>
      <c r="R16" s="93">
        <f t="shared" si="11"/>
      </c>
      <c r="S16" s="97">
        <f>IF(OR(H16="balk",O16="renege"),"",E16)</f>
      </c>
      <c r="T16" s="77">
        <f>IF(Simulation!F16="renege",Simulation!Q16,Simulation!R16)</f>
        <v>0.001388888888888884</v>
      </c>
      <c r="V16" s="77">
        <f>IF(ISNUMBER(SMALL(Simulation!$I$12:Simulation!$J$26,5)),SMALL(Simulation!$I$12:Simulation!$J$26,5),1)</f>
        <v>1</v>
      </c>
      <c r="W16" s="99">
        <f>IF(ISNUMBER(SMALL(Simulation!$K$12:Simulation!$L$26,5)),SMALL(Simulation!$K$12:Simulation!$L$26,5),1)</f>
        <v>1</v>
      </c>
      <c r="X16" s="99">
        <f>IF(ISNUMBER(SMALL(Simulation!$M$12:Simulation!$N$26,5)),SMALL(Simulation!$M$12:Simulation!$N$26,5),1)</f>
        <v>1</v>
      </c>
      <c r="Y16" s="99">
        <f>IF(ISNUMBER(SMALL(Simulation!$O$12:Simulation!$P$26,5)),SMALL(Simulation!$O$12:Simulation!$P$26,5),1)</f>
        <v>1</v>
      </c>
    </row>
    <row r="17" spans="1:25" ht="12.75">
      <c r="A17" s="88">
        <f t="shared" si="12"/>
        <v>6</v>
      </c>
      <c r="B17" s="67">
        <f ca="1" t="shared" si="1"/>
        <v>1</v>
      </c>
      <c r="C17" s="91">
        <f t="shared" si="2"/>
        <v>0.0006944444444444445</v>
      </c>
      <c r="D17" s="67">
        <f ca="1" t="shared" si="3"/>
        <v>10</v>
      </c>
      <c r="E17" s="91">
        <f t="shared" si="4"/>
        <v>0.006944444444444444</v>
      </c>
      <c r="F17" s="91">
        <f t="shared" si="5"/>
        <v>0.38402777777777775</v>
      </c>
      <c r="G17" s="95">
        <f>COUNTIF(Q$11:$Q16,"&gt;"&amp;F17)+COUNTIF(P$11:P16,"&gt;"&amp;F17)</f>
        <v>1</v>
      </c>
      <c r="H17" s="93" t="str">
        <f t="shared" si="6"/>
        <v>balk</v>
      </c>
      <c r="I17" s="91">
        <f>IF(OR(H17="balk",ISTEXT(F17)),"",MAX(Simulation!J$11:J16,start_time,$F17))</f>
      </c>
      <c r="J17" s="91">
        <f>IF(ISTEXT(I17),"",MAX(Simulation!L$11:L16,start_time,$F17))</f>
      </c>
      <c r="K17" s="91">
        <f>IF(ISTEXT($I17),"",MAX(Simulation!N$11:N16,start_time,$F17))</f>
      </c>
      <c r="L17" s="91">
        <f>IF(ISTEXT($I17),"",MAX(Simulation!P$11:P16,start_time,$F17))</f>
      </c>
      <c r="M17" s="91">
        <f t="shared" si="7"/>
      </c>
      <c r="N17" s="91">
        <f t="shared" si="8"/>
      </c>
      <c r="O17" s="94">
        <f t="shared" si="9"/>
      </c>
      <c r="P17" s="91">
        <f t="shared" si="0"/>
      </c>
      <c r="Q17" s="91">
        <f t="shared" si="10"/>
      </c>
      <c r="R17" s="93">
        <f t="shared" si="11"/>
      </c>
      <c r="S17" s="97">
        <f>IF(OR(H17="balk",O17="renege"),"",E17)</f>
      </c>
      <c r="T17" s="77">
        <f>IF(Simulation!F17="renege",Simulation!Q17,Simulation!R17)</f>
      </c>
      <c r="V17" s="77">
        <f>IF(ISNUMBER(SMALL(Simulation!$I$12:Simulation!$J$26,6)),SMALL(Simulation!$I$12:Simulation!$J$26,6),1)</f>
        <v>1</v>
      </c>
      <c r="W17" s="99">
        <f>IF(ISNUMBER(SMALL(Simulation!$K$12:Simulation!$L$26,6)),SMALL(Simulation!$K$12:Simulation!$L$26,6),1)</f>
        <v>1</v>
      </c>
      <c r="X17" s="99">
        <f>IF(ISNUMBER(SMALL(Simulation!$M$12:Simulation!$N$26,6)),SMALL(Simulation!$M$12:Simulation!$N$26,6),1)</f>
        <v>1</v>
      </c>
      <c r="Y17" s="99">
        <f>IF(ISNUMBER(SMALL(Simulation!$O$12:Simulation!$P$26,6)),SMALL(Simulation!$O$12:Simulation!$P$26,6),1)</f>
        <v>1</v>
      </c>
    </row>
    <row r="18" spans="1:25" ht="12.75">
      <c r="A18" s="88">
        <f t="shared" si="12"/>
        <v>7</v>
      </c>
      <c r="B18" s="67">
        <f ca="1" t="shared" si="1"/>
        <v>2</v>
      </c>
      <c r="C18" s="91">
        <f t="shared" si="2"/>
        <v>0.001388888888888889</v>
      </c>
      <c r="D18" s="67">
        <f ca="1" t="shared" si="3"/>
        <v>15</v>
      </c>
      <c r="E18" s="91">
        <f t="shared" si="4"/>
        <v>0.010416666666666666</v>
      </c>
      <c r="F18" s="91">
        <f t="shared" si="5"/>
        <v>0.38541666666666663</v>
      </c>
      <c r="G18" s="95">
        <f>COUNTIF(Q$11:$Q17,"&gt;"&amp;F18)+COUNTIF(P$11:P17,"&gt;"&amp;F18)</f>
        <v>0</v>
      </c>
      <c r="H18" s="93">
        <f t="shared" si="6"/>
      </c>
      <c r="I18" s="91">
        <f>IF(OR(H18="balk",ISTEXT(F18)),"",MAX(Simulation!J$11:J17,start_time,$F18))</f>
        <v>0.3875</v>
      </c>
      <c r="J18" s="91">
        <f>IF(ISTEXT(I18),"",MAX(Simulation!L$11:L17,start_time,$F18))</f>
        <v>0.39305555555555555</v>
      </c>
      <c r="K18" s="91">
        <f>IF(ISTEXT($I18),"",MAX(Simulation!N$11:N17,start_time,$F18))</f>
        <v>0.38749999999999996</v>
      </c>
      <c r="L18" s="91">
        <f>IF(ISTEXT($I18),"",MAX(Simulation!P$11:P17,start_time,$F18))</f>
        <v>0.3881944444444444</v>
      </c>
      <c r="M18" s="91">
        <f t="shared" si="7"/>
        <v>0.38749999999999996</v>
      </c>
      <c r="N18" s="91">
        <f t="shared" si="8"/>
        <v>0.002083333333333326</v>
      </c>
      <c r="O18" s="94" t="str">
        <f t="shared" si="9"/>
        <v>renege</v>
      </c>
      <c r="P18" s="91">
        <f t="shared" si="0"/>
        <v>0.3868055555555555</v>
      </c>
      <c r="Q18" s="91">
        <f t="shared" si="10"/>
      </c>
      <c r="R18" s="93">
        <f t="shared" si="11"/>
      </c>
      <c r="S18" s="97">
        <f>IF(OR(H18="balk",O18="renege"),"",E18)</f>
      </c>
      <c r="T18" s="77">
        <f>IF(Simulation!F18="renege",Simulation!Q18,Simulation!R18)</f>
        <v>0.001388888888888884</v>
      </c>
      <c r="V18" s="77">
        <f>IF(ISNUMBER(SMALL(Simulation!$I$12:Simulation!$J$26,7)),SMALL(Simulation!$I$12:Simulation!$J$26,7),1)</f>
        <v>1</v>
      </c>
      <c r="W18" s="99">
        <f>IF(ISNUMBER(SMALL(Simulation!$K$12:Simulation!$L$26,7)),SMALL(Simulation!$K$12:Simulation!$L$26,7),1)</f>
        <v>1</v>
      </c>
      <c r="X18" s="99">
        <f>IF(ISNUMBER(SMALL(Simulation!$M$12:Simulation!$N$26,7)),SMALL(Simulation!$M$12:Simulation!$N$26,7),1)</f>
        <v>1</v>
      </c>
      <c r="Y18" s="99">
        <f>IF(ISNUMBER(SMALL(Simulation!$O$12:Simulation!$P$26,7)),SMALL(Simulation!$O$12:Simulation!$P$26,7),1)</f>
        <v>1</v>
      </c>
    </row>
    <row r="19" spans="1:25" ht="12.75">
      <c r="A19" s="88">
        <f t="shared" si="12"/>
        <v>8</v>
      </c>
      <c r="B19" s="67">
        <f ca="1" t="shared" si="1"/>
        <v>2</v>
      </c>
      <c r="C19" s="91">
        <f t="shared" si="2"/>
        <v>0.001388888888888889</v>
      </c>
      <c r="D19" s="67">
        <f ca="1" t="shared" si="3"/>
        <v>10</v>
      </c>
      <c r="E19" s="91">
        <f t="shared" si="4"/>
        <v>0.006944444444444444</v>
      </c>
      <c r="F19" s="91">
        <f t="shared" si="5"/>
        <v>0.3868055555555555</v>
      </c>
      <c r="G19" s="95">
        <f>COUNTIF(Q$11:$Q18,"&gt;"&amp;F19)+COUNTIF(P$11:P18,"&gt;"&amp;F19)</f>
        <v>0</v>
      </c>
      <c r="H19" s="93">
        <f t="shared" si="6"/>
      </c>
      <c r="I19" s="91">
        <f>IF(OR(H19="balk",ISTEXT(F19)),"",MAX(Simulation!J$11:J18,start_time,$F19))</f>
        <v>0.3875</v>
      </c>
      <c r="J19" s="91">
        <f>IF(ISTEXT(I19),"",MAX(Simulation!L$11:L18,start_time,$F19))</f>
        <v>0.39305555555555555</v>
      </c>
      <c r="K19" s="91">
        <f>IF(ISTEXT($I19),"",MAX(Simulation!N$11:N18,start_time,$F19))</f>
        <v>0.38749999999999996</v>
      </c>
      <c r="L19" s="91">
        <f>IF(ISTEXT($I19),"",MAX(Simulation!P$11:P18,start_time,$F19))</f>
        <v>0.3881944444444444</v>
      </c>
      <c r="M19" s="91">
        <f t="shared" si="7"/>
        <v>0.38749999999999996</v>
      </c>
      <c r="N19" s="91">
        <f t="shared" si="8"/>
        <v>0.000694444444444442</v>
      </c>
      <c r="O19" s="94">
        <f t="shared" si="9"/>
      </c>
      <c r="P19" s="91">
        <f t="shared" si="0"/>
      </c>
      <c r="Q19" s="91">
        <f t="shared" si="10"/>
        <v>0.38749999999999996</v>
      </c>
      <c r="R19" s="93">
        <f t="shared" si="11"/>
        <v>3</v>
      </c>
      <c r="S19" s="97">
        <f>IF(OR(H19="balk",O19="renege"),"",E19)</f>
        <v>0.006944444444444444</v>
      </c>
      <c r="T19" s="77">
        <f>IF(Simulation!F19="renege",Simulation!Q19,Simulation!R19)</f>
        <v>0.000694444444444442</v>
      </c>
      <c r="V19" s="77">
        <f>IF(ISNUMBER(SMALL(Simulation!$I$12:Simulation!$J$26,8)),SMALL(Simulation!$I$12:Simulation!$J$26,8),1)</f>
        <v>1</v>
      </c>
      <c r="W19" s="99">
        <f>IF(ISNUMBER(SMALL(Simulation!$K$12:Simulation!$L$26,8)),SMALL(Simulation!$K$12:Simulation!$L$26,8),1)</f>
        <v>1</v>
      </c>
      <c r="X19" s="99">
        <f>IF(ISNUMBER(SMALL(Simulation!$M$12:Simulation!$N$26,8)),SMALL(Simulation!$M$12:Simulation!$N$26,8),1)</f>
        <v>1</v>
      </c>
      <c r="Y19" s="99">
        <f>IF(ISNUMBER(SMALL(Simulation!$O$12:Simulation!$P$26,8)),SMALL(Simulation!$O$12:Simulation!$P$26,8),1)</f>
        <v>1</v>
      </c>
    </row>
    <row r="20" spans="1:25" ht="12.75">
      <c r="A20" s="88">
        <f t="shared" si="12"/>
        <v>9</v>
      </c>
      <c r="B20" s="67">
        <f ca="1" t="shared" si="1"/>
        <v>1</v>
      </c>
      <c r="C20" s="91">
        <f t="shared" si="2"/>
        <v>0.0006944444444444445</v>
      </c>
      <c r="D20" s="67">
        <f ca="1" t="shared" si="3"/>
        <v>10</v>
      </c>
      <c r="E20" s="91">
        <f t="shared" si="4"/>
        <v>0.006944444444444444</v>
      </c>
      <c r="F20" s="91">
        <f t="shared" si="5"/>
        <v>0.38749999999999996</v>
      </c>
      <c r="G20" s="95">
        <f>COUNTIF(Q$11:$Q19,"&gt;"&amp;F20)+COUNTIF(P$11:P19,"&gt;"&amp;F20)</f>
        <v>0</v>
      </c>
      <c r="H20" s="93">
        <f t="shared" si="6"/>
      </c>
      <c r="I20" s="91">
        <f>IF(OR(H20="balk",ISTEXT(F20)),"",MAX(Simulation!J$11:J19,start_time,$F20))</f>
        <v>0.3875</v>
      </c>
      <c r="J20" s="91">
        <f>IF(ISTEXT(I20),"",MAX(Simulation!L$11:L19,start_time,$F20))</f>
        <v>0.39305555555555555</v>
      </c>
      <c r="K20" s="91">
        <f>IF(ISTEXT($I20),"",MAX(Simulation!N$11:N19,start_time,$F20))</f>
        <v>0.3944444444444444</v>
      </c>
      <c r="L20" s="91">
        <f>IF(ISTEXT($I20),"",MAX(Simulation!P$11:P19,start_time,$F20))</f>
        <v>0.3881944444444444</v>
      </c>
      <c r="M20" s="91">
        <f t="shared" si="7"/>
        <v>0.3875</v>
      </c>
      <c r="N20" s="91">
        <f t="shared" si="8"/>
        <v>5.551115123125783E-17</v>
      </c>
      <c r="O20" s="94">
        <f t="shared" si="9"/>
      </c>
      <c r="P20" s="91">
        <f t="shared" si="0"/>
      </c>
      <c r="Q20" s="91">
        <f t="shared" si="10"/>
        <v>0.3875</v>
      </c>
      <c r="R20" s="93">
        <f t="shared" si="11"/>
        <v>1</v>
      </c>
      <c r="S20" s="97">
        <f>IF(OR(H20="balk",O20="renege"),"",E20)</f>
        <v>0.006944444444444444</v>
      </c>
      <c r="T20" s="77">
        <f>IF(Simulation!F20="renege",Simulation!Q20,Simulation!R20)</f>
        <v>5.551115123125783E-17</v>
      </c>
      <c r="V20" s="77">
        <f>IF(ISNUMBER(SMALL(Simulation!$I$12:Simulation!$J$26,9)),SMALL(Simulation!$I$12:Simulation!$J$26,9),1)</f>
        <v>1</v>
      </c>
      <c r="W20" s="99">
        <f>IF(ISNUMBER(SMALL(Simulation!$K$12:Simulation!$L$26,9)),SMALL(Simulation!$K$12:Simulation!$L$26,9),1)</f>
        <v>1</v>
      </c>
      <c r="X20" s="99">
        <f>IF(ISNUMBER(SMALL(Simulation!$M$12:Simulation!$N$26,9)),SMALL(Simulation!$M$12:Simulation!$N$26,9),1)</f>
        <v>1</v>
      </c>
      <c r="Y20" s="99">
        <f>IF(ISNUMBER(SMALL(Simulation!$O$12:Simulation!$P$26,9)),SMALL(Simulation!$O$12:Simulation!$P$26,9),1)</f>
        <v>1</v>
      </c>
    </row>
    <row r="21" spans="1:25" ht="12.75">
      <c r="A21" s="88">
        <f t="shared" si="12"/>
        <v>10</v>
      </c>
      <c r="B21" s="67">
        <f ca="1" t="shared" si="1"/>
        <v>1</v>
      </c>
      <c r="C21" s="91">
        <f t="shared" si="2"/>
        <v>0.0006944444444444445</v>
      </c>
      <c r="D21" s="67">
        <f ca="1" t="shared" si="3"/>
        <v>20</v>
      </c>
      <c r="E21" s="91">
        <f t="shared" si="4"/>
        <v>0.013888888888888888</v>
      </c>
      <c r="F21" s="91">
        <f t="shared" si="5"/>
        <v>0.3881944444444444</v>
      </c>
      <c r="G21" s="95">
        <f>COUNTIF(Q$11:$Q20,"&gt;"&amp;F21)+COUNTIF(P$11:P20,"&gt;"&amp;F21)</f>
        <v>0</v>
      </c>
      <c r="H21" s="93">
        <f t="shared" si="6"/>
      </c>
      <c r="I21" s="91">
        <f>IF(OR(H21="balk",ISTEXT(F21)),"",MAX(Simulation!J$11:J20,start_time,$F21))</f>
        <v>0.39444444444444443</v>
      </c>
      <c r="J21" s="91">
        <f>IF(ISTEXT(I21),"",MAX(Simulation!L$11:L20,start_time,$F21))</f>
        <v>0.39305555555555555</v>
      </c>
      <c r="K21" s="91">
        <f>IF(ISTEXT($I21),"",MAX(Simulation!N$11:N20,start_time,$F21))</f>
        <v>0.3944444444444444</v>
      </c>
      <c r="L21" s="91">
        <f>IF(ISTEXT($I21),"",MAX(Simulation!P$11:P20,start_time,$F21))</f>
        <v>0.3881944444444444</v>
      </c>
      <c r="M21" s="91">
        <f t="shared" si="7"/>
        <v>0.3881944444444444</v>
      </c>
      <c r="N21" s="91">
        <f t="shared" si="8"/>
        <v>0</v>
      </c>
      <c r="O21" s="94">
        <f t="shared" si="9"/>
      </c>
      <c r="P21" s="91">
        <f t="shared" si="0"/>
      </c>
      <c r="Q21" s="91">
        <f t="shared" si="10"/>
        <v>0.3881944444444444</v>
      </c>
      <c r="R21" s="93">
        <f t="shared" si="11"/>
        <v>4</v>
      </c>
      <c r="S21" s="97">
        <f>IF(OR(H21="balk",O21="renege"),"",E21)</f>
        <v>0.013888888888888888</v>
      </c>
      <c r="T21" s="77">
        <f>IF(Simulation!F21="renege",Simulation!Q21,Simulation!R21)</f>
        <v>0</v>
      </c>
      <c r="V21" s="77">
        <f>IF(ISNUMBER(SMALL(Simulation!$I$12:Simulation!$J$26,10)),SMALL(Simulation!$I$12:Simulation!$J$26,10),1)</f>
        <v>1</v>
      </c>
      <c r="W21" s="99">
        <f>IF(ISNUMBER(SMALL(Simulation!$K$12:Simulation!$L$26,10)),SMALL(Simulation!$K$12:Simulation!$L$26,10),1)</f>
        <v>1</v>
      </c>
      <c r="X21" s="99">
        <f>IF(ISNUMBER(SMALL(Simulation!$M$12:Simulation!$N$26,10)),SMALL(Simulation!$M$12:Simulation!$N$26,10),1)</f>
        <v>1</v>
      </c>
      <c r="Y21" s="99">
        <f>IF(ISNUMBER(SMALL(Simulation!$O$12:Simulation!$P$26,10)),SMALL(Simulation!$O$12:Simulation!$P$26,10),1)</f>
        <v>1</v>
      </c>
    </row>
    <row r="22" spans="1:25" ht="12.75">
      <c r="A22" s="88">
        <f t="shared" si="12"/>
        <v>11</v>
      </c>
      <c r="B22" s="67">
        <f ca="1" t="shared" si="1"/>
        <v>3</v>
      </c>
      <c r="C22" s="91">
        <f t="shared" si="2"/>
        <v>0.0020833333333333333</v>
      </c>
      <c r="D22" s="67">
        <f ca="1" t="shared" si="3"/>
        <v>15</v>
      </c>
      <c r="E22" s="91">
        <f t="shared" si="4"/>
        <v>0.010416666666666666</v>
      </c>
      <c r="F22" s="91">
        <f t="shared" si="5"/>
        <v>0.3902777777777777</v>
      </c>
      <c r="G22" s="95">
        <f>COUNTIF(Q$11:$Q21,"&gt;"&amp;F22)+COUNTIF(P$11:P21,"&gt;"&amp;F22)</f>
        <v>0</v>
      </c>
      <c r="H22" s="93">
        <f t="shared" si="6"/>
      </c>
      <c r="I22" s="91">
        <f>IF(OR(H22="balk",ISTEXT(F22)),"",MAX(Simulation!J$11:J21,start_time,$F22))</f>
        <v>0.39444444444444443</v>
      </c>
      <c r="J22" s="91">
        <f>IF(ISTEXT(I22),"",MAX(Simulation!L$11:L21,start_time,$F22))</f>
        <v>0.39305555555555555</v>
      </c>
      <c r="K22" s="91">
        <f>IF(ISTEXT($I22),"",MAX(Simulation!N$11:N21,start_time,$F22))</f>
        <v>0.3944444444444444</v>
      </c>
      <c r="L22" s="91">
        <f>IF(ISTEXT($I22),"",MAX(Simulation!P$11:P21,start_time,$F22))</f>
        <v>0.4020833333333333</v>
      </c>
      <c r="M22" s="91">
        <f t="shared" si="7"/>
        <v>0.39305555555555555</v>
      </c>
      <c r="N22" s="91">
        <f t="shared" si="8"/>
        <v>0.0027777777777778234</v>
      </c>
      <c r="O22" s="94" t="str">
        <f t="shared" si="9"/>
        <v>renege</v>
      </c>
      <c r="P22" s="91">
        <f t="shared" si="0"/>
        <v>0.3916666666666666</v>
      </c>
      <c r="Q22" s="91">
        <f t="shared" si="10"/>
      </c>
      <c r="R22" s="93">
        <f t="shared" si="11"/>
      </c>
      <c r="S22" s="97">
        <f>IF(OR(H22="balk",O22="renege"),"",E22)</f>
      </c>
      <c r="T22" s="77">
        <f>IF(Simulation!F22="renege",Simulation!Q22,Simulation!R22)</f>
        <v>0.001388888888888884</v>
      </c>
      <c r="V22" s="77">
        <f>IF(ISNUMBER(SMALL(Simulation!$I$12:Simulation!$J$26,11)),SMALL(Simulation!$I$12:Simulation!$J$26,11),1)</f>
        <v>1</v>
      </c>
      <c r="W22" s="99">
        <f>IF(ISNUMBER(SMALL(Simulation!$K$12:Simulation!$L$26,11)),SMALL(Simulation!$K$12:Simulation!$L$26,11),1)</f>
        <v>1</v>
      </c>
      <c r="X22" s="99">
        <f>IF(ISNUMBER(SMALL(Simulation!$M$12:Simulation!$N$26,11)),SMALL(Simulation!$M$12:Simulation!$N$26,11),1)</f>
        <v>1</v>
      </c>
      <c r="Y22" s="99">
        <f>IF(ISNUMBER(SMALL(Simulation!$O$12:Simulation!$P$26,11)),SMALL(Simulation!$O$12:Simulation!$P$26,11),1)</f>
        <v>1</v>
      </c>
    </row>
    <row r="23" spans="1:25" ht="12.75">
      <c r="A23" s="88">
        <f t="shared" si="12"/>
        <v>12</v>
      </c>
      <c r="B23" s="67">
        <f ca="1" t="shared" si="1"/>
        <v>1</v>
      </c>
      <c r="C23" s="91">
        <f t="shared" si="2"/>
        <v>0.0006944444444444445</v>
      </c>
      <c r="D23" s="67">
        <f ca="1" t="shared" si="3"/>
        <v>15</v>
      </c>
      <c r="E23" s="91">
        <f t="shared" si="4"/>
        <v>0.010416666666666666</v>
      </c>
      <c r="F23" s="91">
        <f t="shared" si="5"/>
        <v>0.39097222222222217</v>
      </c>
      <c r="G23" s="95">
        <f>COUNTIF(Q$11:$Q22,"&gt;"&amp;F23)+COUNTIF(P$11:P22,"&gt;"&amp;F23)</f>
        <v>1</v>
      </c>
      <c r="H23" s="93" t="str">
        <f t="shared" si="6"/>
        <v>balk</v>
      </c>
      <c r="I23" s="91">
        <f>IF(OR(H23="balk",ISTEXT(F23)),"",MAX(Simulation!J$11:J22,start_time,$F23))</f>
      </c>
      <c r="J23" s="91">
        <f>IF(ISTEXT(I23),"",MAX(Simulation!L$11:L22,start_time,$F23))</f>
      </c>
      <c r="K23" s="91">
        <f>IF(ISTEXT($I23),"",MAX(Simulation!N$11:N22,start_time,$F23))</f>
      </c>
      <c r="L23" s="91">
        <f>IF(ISTEXT($I23),"",MAX(Simulation!P$11:P22,start_time,$F23))</f>
      </c>
      <c r="M23" s="91">
        <f t="shared" si="7"/>
      </c>
      <c r="N23" s="91">
        <f t="shared" si="8"/>
      </c>
      <c r="O23" s="94">
        <f t="shared" si="9"/>
      </c>
      <c r="P23" s="91">
        <f t="shared" si="0"/>
      </c>
      <c r="Q23" s="91">
        <f t="shared" si="10"/>
      </c>
      <c r="R23" s="93">
        <f t="shared" si="11"/>
      </c>
      <c r="S23" s="97">
        <f>IF(OR(H23="balk",O23="renege"),"",E23)</f>
      </c>
      <c r="T23" s="77">
        <f>IF(Simulation!F23="renege",Simulation!Q23,Simulation!R23)</f>
      </c>
      <c r="V23" s="77">
        <f>IF(ISNUMBER(SMALL(Simulation!$I$12:Simulation!$J$26,12)),SMALL(Simulation!$I$12:Simulation!$J$26,12),1)</f>
        <v>1</v>
      </c>
      <c r="W23" s="99">
        <f>IF(ISNUMBER(SMALL(Simulation!$K$12:Simulation!$L$26,12)),SMALL(Simulation!$K$12:Simulation!$L$26,12),1)</f>
        <v>1</v>
      </c>
      <c r="X23" s="99">
        <f>IF(ISNUMBER(SMALL(Simulation!$M$12:Simulation!$N$26,12)),SMALL(Simulation!$M$12:Simulation!$N$26,12),1)</f>
        <v>1</v>
      </c>
      <c r="Y23" s="99">
        <f>IF(ISNUMBER(SMALL(Simulation!$O$12:Simulation!$P$26,12)),SMALL(Simulation!$O$12:Simulation!$P$26,12),1)</f>
        <v>1</v>
      </c>
    </row>
    <row r="24" spans="1:25" ht="12.75">
      <c r="A24" s="88">
        <f t="shared" si="12"/>
        <v>13</v>
      </c>
      <c r="B24" s="67">
        <f ca="1" t="shared" si="1"/>
        <v>1</v>
      </c>
      <c r="C24" s="91">
        <f t="shared" si="2"/>
        <v>0.0006944444444444445</v>
      </c>
      <c r="D24" s="67">
        <f ca="1" t="shared" si="3"/>
        <v>20</v>
      </c>
      <c r="E24" s="91">
        <f t="shared" si="4"/>
        <v>0.013888888888888888</v>
      </c>
      <c r="F24" s="91">
        <f t="shared" si="5"/>
        <v>0.3916666666666666</v>
      </c>
      <c r="G24" s="95">
        <f>COUNTIF(Q$11:$Q23,"&gt;"&amp;F24)+COUNTIF(P$11:P23,"&gt;"&amp;F24)</f>
        <v>0</v>
      </c>
      <c r="H24" s="93">
        <f t="shared" si="6"/>
      </c>
      <c r="I24" s="91">
        <f>IF(OR(H24="balk",ISTEXT(F24)),"",MAX(Simulation!J$11:J23,start_time,$F24))</f>
        <v>0.39444444444444443</v>
      </c>
      <c r="J24" s="91">
        <f>IF(ISTEXT(I24),"",MAX(Simulation!L$11:L23,start_time,$F24))</f>
        <v>0.39305555555555555</v>
      </c>
      <c r="K24" s="91">
        <f>IF(ISTEXT($I24),"",MAX(Simulation!N$11:N23,start_time,$F24))</f>
        <v>0.3944444444444444</v>
      </c>
      <c r="L24" s="91">
        <f>IF(ISTEXT($I24),"",MAX(Simulation!P$11:P23,start_time,$F24))</f>
        <v>0.4020833333333333</v>
      </c>
      <c r="M24" s="91">
        <f t="shared" si="7"/>
        <v>0.39305555555555555</v>
      </c>
      <c r="N24" s="91">
        <f t="shared" si="8"/>
        <v>0.0013888888888889395</v>
      </c>
      <c r="O24" s="94" t="str">
        <f t="shared" si="9"/>
        <v>renege</v>
      </c>
      <c r="P24" s="91">
        <f t="shared" si="0"/>
        <v>0.3930555555555555</v>
      </c>
      <c r="Q24" s="91">
        <f t="shared" si="10"/>
      </c>
      <c r="R24" s="93">
        <f t="shared" si="11"/>
      </c>
      <c r="S24" s="97">
        <f>IF(OR(H24="balk",O24="renege"),"",E24)</f>
      </c>
      <c r="T24" s="77">
        <f>IF(Simulation!F24="renege",Simulation!Q24,Simulation!R24)</f>
        <v>0.001388888888888884</v>
      </c>
      <c r="V24" s="77">
        <f>IF(ISNUMBER(SMALL(Simulation!$I$12:Simulation!$J$26,13)),SMALL(Simulation!$I$12:Simulation!$J$26,13),1)</f>
        <v>1</v>
      </c>
      <c r="W24" s="99">
        <f>IF(ISNUMBER(SMALL(Simulation!$K$12:Simulation!$L$26,13)),SMALL(Simulation!$K$12:Simulation!$L$26,13),1)</f>
        <v>1</v>
      </c>
      <c r="X24" s="99">
        <f>IF(ISNUMBER(SMALL(Simulation!$M$12:Simulation!$N$26,13)),SMALL(Simulation!$M$12:Simulation!$N$26,13),1)</f>
        <v>1</v>
      </c>
      <c r="Y24" s="99">
        <f>IF(ISNUMBER(SMALL(Simulation!$O$12:Simulation!$P$26,13)),SMALL(Simulation!$O$12:Simulation!$P$26,13),1)</f>
        <v>1</v>
      </c>
    </row>
    <row r="25" spans="1:25" ht="12.75">
      <c r="A25" s="88">
        <f t="shared" si="12"/>
        <v>14</v>
      </c>
      <c r="B25" s="67">
        <f ca="1" t="shared" si="1"/>
        <v>1</v>
      </c>
      <c r="C25" s="91">
        <f t="shared" si="2"/>
        <v>0.0006944444444444445</v>
      </c>
      <c r="D25" s="67">
        <f ca="1" t="shared" si="3"/>
        <v>15</v>
      </c>
      <c r="E25" s="91">
        <f t="shared" si="4"/>
        <v>0.010416666666666666</v>
      </c>
      <c r="F25" s="91">
        <f t="shared" si="5"/>
        <v>0.39236111111111105</v>
      </c>
      <c r="G25" s="95">
        <f>COUNTIF(Q$11:$Q24,"&gt;"&amp;F25)+COUNTIF(P$11:P24,"&gt;"&amp;F25)</f>
        <v>1</v>
      </c>
      <c r="H25" s="93" t="str">
        <f t="shared" si="6"/>
        <v>balk</v>
      </c>
      <c r="I25" s="91">
        <f>IF(OR(H25="balk",ISTEXT(F25)),"",MAX(Simulation!J$11:J24,start_time,$F25))</f>
      </c>
      <c r="J25" s="91">
        <f>IF(ISTEXT(I25),"",MAX(Simulation!L$11:L24,start_time,$F25))</f>
      </c>
      <c r="K25" s="91">
        <f>IF(ISTEXT($I25),"",MAX(Simulation!N$11:N24,start_time,$F25))</f>
      </c>
      <c r="L25" s="91">
        <f>IF(ISTEXT($I25),"",MAX(Simulation!P$11:P24,start_time,$F25))</f>
      </c>
      <c r="M25" s="91">
        <f t="shared" si="7"/>
      </c>
      <c r="N25" s="91">
        <f t="shared" si="8"/>
      </c>
      <c r="O25" s="94">
        <f t="shared" si="9"/>
      </c>
      <c r="P25" s="91">
        <f t="shared" si="0"/>
      </c>
      <c r="Q25" s="91">
        <f t="shared" si="10"/>
      </c>
      <c r="R25" s="93">
        <f t="shared" si="11"/>
      </c>
      <c r="S25" s="97">
        <f>IF(OR(H25="balk",O25="renege"),"",E25)</f>
      </c>
      <c r="T25" s="77">
        <f>IF(Simulation!F25="renege",Simulation!Q25,Simulation!R25)</f>
      </c>
      <c r="V25" s="77">
        <f>IF(ISNUMBER(SMALL(Simulation!$I$12:Simulation!$J$26,14)),SMALL(Simulation!$I$12:Simulation!$J$26,14),1)</f>
        <v>1</v>
      </c>
      <c r="W25" s="99">
        <f>IF(ISNUMBER(SMALL(Simulation!$K$12:Simulation!$L$26,14)),SMALL(Simulation!$K$12:Simulation!$L$26,14),1)</f>
        <v>1</v>
      </c>
      <c r="X25" s="99">
        <f>IF(ISNUMBER(SMALL(Simulation!$M$12:Simulation!$N$26,14)),SMALL(Simulation!$M$12:Simulation!$N$26,14),1)</f>
        <v>1</v>
      </c>
      <c r="Y25" s="99">
        <f>IF(ISNUMBER(SMALL(Simulation!$O$12:Simulation!$P$26,14)),SMALL(Simulation!$O$12:Simulation!$P$26,14),1)</f>
        <v>1</v>
      </c>
    </row>
    <row r="26" spans="1:25" ht="12.75">
      <c r="A26" s="88">
        <f t="shared" si="12"/>
        <v>15</v>
      </c>
      <c r="B26" s="67">
        <f ca="1" t="shared" si="1"/>
        <v>1</v>
      </c>
      <c r="C26" s="91">
        <f t="shared" si="2"/>
        <v>0.0006944444444444445</v>
      </c>
      <c r="D26" s="67">
        <f ca="1" t="shared" si="3"/>
        <v>10</v>
      </c>
      <c r="E26" s="91">
        <f t="shared" si="4"/>
        <v>0.006944444444444444</v>
      </c>
      <c r="F26" s="91">
        <f t="shared" si="5"/>
        <v>0.3930555555555555</v>
      </c>
      <c r="G26" s="95">
        <f>COUNTIF(Q$11:$Q25,"&gt;"&amp;F26)+COUNTIF(P$11:P25,"&gt;"&amp;F26)</f>
        <v>0</v>
      </c>
      <c r="H26" s="93">
        <f t="shared" si="6"/>
      </c>
      <c r="I26" s="91">
        <f>IF(OR(H26="balk",ISTEXT(F26)),"",MAX(Simulation!J$11:J25,start_time,$F26))</f>
        <v>0.39444444444444443</v>
      </c>
      <c r="J26" s="91">
        <f>IF(ISTEXT(I26),"",MAX(Simulation!L$11:L25,start_time,$F26))</f>
        <v>0.39305555555555555</v>
      </c>
      <c r="K26" s="91">
        <f>IF(ISTEXT($I26),"",MAX(Simulation!N$11:N25,start_time,$F26))</f>
        <v>0.3944444444444444</v>
      </c>
      <c r="L26" s="91">
        <f>IF(ISTEXT($I26),"",MAX(Simulation!P$11:P25,start_time,$F26))</f>
        <v>0.4020833333333333</v>
      </c>
      <c r="M26" s="91">
        <f t="shared" si="7"/>
        <v>0.39305555555555555</v>
      </c>
      <c r="N26" s="91">
        <f t="shared" si="8"/>
        <v>5.551115123125783E-17</v>
      </c>
      <c r="O26" s="94">
        <f t="shared" si="9"/>
      </c>
      <c r="P26" s="91">
        <f t="shared" si="0"/>
      </c>
      <c r="Q26" s="91">
        <f t="shared" si="10"/>
        <v>0.39305555555555555</v>
      </c>
      <c r="R26" s="93">
        <f t="shared" si="11"/>
        <v>2</v>
      </c>
      <c r="S26" s="97">
        <f>IF(OR(H26="balk",O26="renege"),"",E26)</f>
        <v>0.006944444444444444</v>
      </c>
      <c r="T26" s="77">
        <f>IF(Simulation!F26="renege",Simulation!Q26,Simulation!R26)</f>
        <v>5.551115123125783E-17</v>
      </c>
      <c r="V26" s="77">
        <f>IF(ISNUMBER(SMALL(Simulation!$I$12:Simulation!$J$26,15)),SMALL(Simulation!$I$12:Simulation!$J$26,15),1)</f>
        <v>1</v>
      </c>
      <c r="W26" s="99">
        <f>IF(ISNUMBER(SMALL(Simulation!$K$12:Simulation!$L$26,15)),SMALL(Simulation!$K$12:Simulation!$L$26,15),1)</f>
        <v>1</v>
      </c>
      <c r="X26" s="99">
        <f>IF(ISNUMBER(SMALL(Simulation!$M$12:Simulation!$N$26,15)),SMALL(Simulation!$M$12:Simulation!$N$26,15),1)</f>
        <v>1</v>
      </c>
      <c r="Y26" s="99">
        <f>IF(ISNUMBER(SMALL(Simulation!$O$12:Simulation!$P$26,15)),SMALL(Simulation!$O$12:Simulation!$P$26,15),1)</f>
        <v>1</v>
      </c>
    </row>
    <row r="27" spans="15:25" ht="12.75">
      <c r="O27" s="69"/>
      <c r="V27" s="77">
        <f>IF(ISNUMBER(SMALL(Simulation!$I$12:Simulation!$J$26,16)),SMALL(Simulation!$I$12:Simulation!$J$26,16),1)</f>
        <v>1</v>
      </c>
      <c r="W27" s="99">
        <f>IF(ISNUMBER(SMALL(Simulation!$K$12:Simulation!$L$26,16)),SMALL(Simulation!$K$12:Simulation!$L$26,16),1)</f>
        <v>1</v>
      </c>
      <c r="X27" s="99">
        <f>IF(ISNUMBER(SMALL(Simulation!$M$12:Simulation!$N$26,16)),SMALL(Simulation!$M$12:Simulation!$N$26,16),1)</f>
        <v>1</v>
      </c>
      <c r="Y27" s="99">
        <f>IF(ISNUMBER(SMALL(Simulation!$O$12:Simulation!$P$26,16)),SMALL(Simulation!$O$12:Simulation!$P$26,16),1)</f>
        <v>1</v>
      </c>
    </row>
    <row r="28" spans="6:25" ht="12.75">
      <c r="F28" s="70"/>
      <c r="G28" s="71"/>
      <c r="I28" s="53"/>
      <c r="J28" s="53"/>
      <c r="K28" s="53"/>
      <c r="L28" s="53"/>
      <c r="M28" s="53"/>
      <c r="P28" s="72"/>
      <c r="Q28" s="72"/>
      <c r="V28" s="77">
        <f>IF(ISNUMBER(SMALL(Simulation!$I$12:Simulation!$J$26,17)),SMALL(Simulation!$I$12:Simulation!$J$26,17),1)</f>
        <v>1</v>
      </c>
      <c r="W28" s="99">
        <f>IF(ISNUMBER(SMALL(Simulation!$K$12:Simulation!$L$26,17)),SMALL(Simulation!$K$12:Simulation!$L$26,17),1)</f>
        <v>1</v>
      </c>
      <c r="X28" s="99">
        <f>IF(ISNUMBER(SMALL(Simulation!$M$12:Simulation!$N$26,17)),SMALL(Simulation!$M$12:Simulation!$N$26,17),1)</f>
        <v>1</v>
      </c>
      <c r="Y28" s="99">
        <f>IF(ISNUMBER(SMALL(Simulation!$O$12:Simulation!$P$26,17)),SMALL(Simulation!$O$12:Simulation!$P$26,17),1)</f>
        <v>1</v>
      </c>
    </row>
    <row r="29" spans="22:25" ht="12.75">
      <c r="V29" s="77">
        <f>IF(ISNUMBER(SMALL(Simulation!$I$12:Simulation!$J$26,18)),SMALL(Simulation!$I$12:Simulation!$J$26,18),1)</f>
        <v>1</v>
      </c>
      <c r="W29" s="99">
        <f>IF(ISNUMBER(SMALL(Simulation!$K$12:Simulation!$L$26,18)),SMALL(Simulation!$K$12:Simulation!$L$26,18),1)</f>
        <v>1</v>
      </c>
      <c r="X29" s="99">
        <f>IF(ISNUMBER(SMALL(Simulation!$M$12:Simulation!$N$26,18)),SMALL(Simulation!$M$12:Simulation!$N$26,18),1)</f>
        <v>1</v>
      </c>
      <c r="Y29" s="99">
        <f>IF(ISNUMBER(SMALL(Simulation!$O$12:Simulation!$P$26,18)),SMALL(Simulation!$O$12:Simulation!$P$26,18),1)</f>
        <v>1</v>
      </c>
    </row>
    <row r="30" spans="9:25" ht="12.75">
      <c r="I30" s="73"/>
      <c r="V30" s="77">
        <f>IF(ISNUMBER(SMALL(Simulation!$I$12:Simulation!$J$26,19)),SMALL(Simulation!$I$12:Simulation!$J$26,19),1)</f>
        <v>1</v>
      </c>
      <c r="W30" s="99">
        <f>IF(ISNUMBER(SMALL(Simulation!$K$12:Simulation!$L$26,19)),SMALL(Simulation!$K$12:Simulation!$L$26,19),1)</f>
        <v>1</v>
      </c>
      <c r="X30" s="99">
        <f>IF(ISNUMBER(SMALL(Simulation!$M$12:Simulation!$N$26,19)),SMALL(Simulation!$M$12:Simulation!$N$26,19),1)</f>
        <v>1</v>
      </c>
      <c r="Y30" s="99">
        <f>IF(ISNUMBER(SMALL(Simulation!$O$12:Simulation!$P$26,19)),SMALL(Simulation!$O$12:Simulation!$P$26,19),1)</f>
        <v>1</v>
      </c>
    </row>
    <row r="31" spans="22:25" ht="12.75">
      <c r="V31" s="77">
        <f>IF(ISNUMBER(SMALL(Simulation!$I$12:Simulation!$J$26,20)),SMALL(Simulation!$I$12:Simulation!$J$26,20),1)</f>
        <v>1</v>
      </c>
      <c r="W31" s="99">
        <f>IF(ISNUMBER(SMALL(Simulation!$K$12:Simulation!$L$26,20)),SMALL(Simulation!$K$12:Simulation!$L$26,20),1)</f>
        <v>1</v>
      </c>
      <c r="X31" s="99">
        <f>IF(ISNUMBER(SMALL(Simulation!$M$12:Simulation!$N$26,20)),SMALL(Simulation!$M$12:Simulation!$N$26,20),1)</f>
        <v>1</v>
      </c>
      <c r="Y31" s="99">
        <f>IF(ISNUMBER(SMALL(Simulation!$O$12:Simulation!$P$26,20)),SMALL(Simulation!$O$12:Simulation!$P$26,20),1)</f>
        <v>1</v>
      </c>
    </row>
    <row r="32" spans="3:25" ht="12.75">
      <c r="C32" s="74"/>
      <c r="D32" s="75"/>
      <c r="V32" s="77">
        <f>IF(ISNUMBER(SMALL(Simulation!$I$12:Simulation!$J$26,21)),SMALL(Simulation!$I$12:Simulation!$J$26,21),1)</f>
        <v>1</v>
      </c>
      <c r="W32" s="99">
        <f>IF(ISNUMBER(SMALL(Simulation!$K$12:Simulation!$L$26,21)),SMALL(Simulation!$K$12:Simulation!$L$26,21),1)</f>
        <v>1</v>
      </c>
      <c r="X32" s="99">
        <f>IF(ISNUMBER(SMALL(Simulation!$M$12:Simulation!$N$26,21)),SMALL(Simulation!$M$12:Simulation!$N$26,21),1)</f>
        <v>1</v>
      </c>
      <c r="Y32" s="99">
        <f>IF(ISNUMBER(SMALL(Simulation!$O$12:Simulation!$P$26,21)),SMALL(Simulation!$O$12:Simulation!$P$26,21),1)</f>
        <v>1</v>
      </c>
    </row>
    <row r="33" spans="3:25" ht="12.75">
      <c r="C33" s="74"/>
      <c r="D33" s="75"/>
      <c r="V33" s="77">
        <f>IF(ISNUMBER(SMALL(Simulation!$I$12:Simulation!$J$26,22)),SMALL(Simulation!$I$12:Simulation!$J$26,22),1)</f>
        <v>1</v>
      </c>
      <c r="W33" s="99">
        <f>IF(ISNUMBER(SMALL(Simulation!$K$12:Simulation!$L$26,22)),SMALL(Simulation!$K$12:Simulation!$L$26,22),1)</f>
        <v>1</v>
      </c>
      <c r="X33" s="99">
        <f>IF(ISNUMBER(SMALL(Simulation!$M$12:Simulation!$N$26,22)),SMALL(Simulation!$M$12:Simulation!$N$26,22),1)</f>
        <v>1</v>
      </c>
      <c r="Y33" s="99">
        <f>IF(ISNUMBER(SMALL(Simulation!$O$12:Simulation!$P$26,22)),SMALL(Simulation!$O$12:Simulation!$P$26,22),1)</f>
        <v>1</v>
      </c>
    </row>
    <row r="34" spans="3:25" ht="12.75">
      <c r="C34" s="74"/>
      <c r="D34" s="75"/>
      <c r="V34" s="77">
        <f>IF(ISNUMBER(SMALL(Simulation!$I$12:Simulation!$J$26,23)),SMALL(Simulation!$I$12:Simulation!$J$26,23),1)</f>
        <v>1</v>
      </c>
      <c r="W34" s="99">
        <f>IF(ISNUMBER(SMALL(Simulation!$K$12:Simulation!$L$26,23)),SMALL(Simulation!$K$12:Simulation!$L$26,23),1)</f>
        <v>1</v>
      </c>
      <c r="X34" s="99">
        <f>IF(ISNUMBER(SMALL(Simulation!$M$12:Simulation!$N$26,23)),SMALL(Simulation!$M$12:Simulation!$N$26,23),1)</f>
        <v>1</v>
      </c>
      <c r="Y34" s="99">
        <f>IF(ISNUMBER(SMALL(Simulation!$O$12:Simulation!$P$26,23)),SMALL(Simulation!$O$12:Simulation!$P$26,23),1)</f>
        <v>1</v>
      </c>
    </row>
    <row r="35" spans="3:25" ht="12.75">
      <c r="C35" s="74"/>
      <c r="D35" s="75"/>
      <c r="V35" s="77">
        <f>IF(ISNUMBER(SMALL(Simulation!$I$12:Simulation!$J$26,24)),SMALL(Simulation!$I$12:Simulation!$J$26,24),1)</f>
        <v>1</v>
      </c>
      <c r="W35" s="99">
        <f>IF(ISNUMBER(SMALL(Simulation!$K$12:Simulation!$L$26,24)),SMALL(Simulation!$K$12:Simulation!$L$26,24),1)</f>
        <v>1</v>
      </c>
      <c r="X35" s="99">
        <f>IF(ISNUMBER(SMALL(Simulation!$M$12:Simulation!$N$26,24)),SMALL(Simulation!$M$12:Simulation!$N$26,24),1)</f>
        <v>1</v>
      </c>
      <c r="Y35" s="99">
        <f>IF(ISNUMBER(SMALL(Simulation!$O$12:Simulation!$P$26,24)),SMALL(Simulation!$O$12:Simulation!$P$26,24),1)</f>
        <v>1</v>
      </c>
    </row>
    <row r="36" spans="3:25" ht="12.75">
      <c r="C36" s="74"/>
      <c r="D36" s="75"/>
      <c r="V36" s="77">
        <f>IF(ISNUMBER(SMALL(Simulation!$I$12:Simulation!$J$26,25)),SMALL(Simulation!$I$12:Simulation!$J$26,25),1)</f>
        <v>1</v>
      </c>
      <c r="W36" s="99">
        <f>IF(ISNUMBER(SMALL(Simulation!$K$12:Simulation!$L$26,25)),SMALL(Simulation!$K$12:Simulation!$L$26,25),1)</f>
        <v>1</v>
      </c>
      <c r="X36" s="99">
        <f>IF(ISNUMBER(SMALL(Simulation!$M$12:Simulation!$N$26,25)),SMALL(Simulation!$M$12:Simulation!$N$26,25),1)</f>
        <v>1</v>
      </c>
      <c r="Y36" s="99">
        <f>IF(ISNUMBER(SMALL(Simulation!$O$12:Simulation!$P$26,25)),SMALL(Simulation!$O$12:Simulation!$P$26,25),1)</f>
        <v>1</v>
      </c>
    </row>
    <row r="37" spans="22:25" ht="12.75">
      <c r="V37" s="77">
        <f>IF(ISNUMBER(SMALL(Simulation!$I$12:Simulation!$J$26,26)),SMALL(Simulation!$I$12:Simulation!$J$26,26),1)</f>
        <v>1</v>
      </c>
      <c r="W37" s="99">
        <f>IF(ISNUMBER(SMALL(Simulation!$K$12:Simulation!$L$26,26)),SMALL(Simulation!$K$12:Simulation!$L$26,26),1)</f>
        <v>1</v>
      </c>
      <c r="X37" s="99">
        <f>IF(ISNUMBER(SMALL(Simulation!$M$12:Simulation!$N$26,26)),SMALL(Simulation!$M$12:Simulation!$N$26,26),1)</f>
        <v>1</v>
      </c>
      <c r="Y37" s="99">
        <f>IF(ISNUMBER(SMALL(Simulation!$O$12:Simulation!$P$26,26)),SMALL(Simulation!$O$12:Simulation!$P$26,26),1)</f>
        <v>1</v>
      </c>
    </row>
    <row r="38" spans="22:25" ht="12.75">
      <c r="V38" s="77">
        <f>IF(ISNUMBER(SMALL(Simulation!$I$12:Simulation!$J$26,27)),SMALL(Simulation!$I$12:Simulation!$J$26,27),1)</f>
        <v>1</v>
      </c>
      <c r="W38" s="99">
        <f>IF(ISNUMBER(SMALL(Simulation!$K$12:Simulation!$L$26,27)),SMALL(Simulation!$K$12:Simulation!$L$26,27),1)</f>
        <v>1</v>
      </c>
      <c r="X38" s="99">
        <f>IF(ISNUMBER(SMALL(Simulation!$M$12:Simulation!$N$26,27)),SMALL(Simulation!$M$12:Simulation!$N$26,27),1)</f>
        <v>1</v>
      </c>
      <c r="Y38" s="99">
        <f>IF(ISNUMBER(SMALL(Simulation!$O$12:Simulation!$P$26,27)),SMALL(Simulation!$O$12:Simulation!$P$26,27),1)</f>
        <v>1</v>
      </c>
    </row>
    <row r="39" spans="22:25" ht="12.75">
      <c r="V39" s="77">
        <f>IF(ISNUMBER(SMALL(Simulation!$I$12:Simulation!$J$26,28)),SMALL(Simulation!$I$12:Simulation!$J$26,28),1)</f>
        <v>1</v>
      </c>
      <c r="W39" s="99">
        <f>IF(ISNUMBER(SMALL(Simulation!$K$12:Simulation!$L$26,28)),SMALL(Simulation!$K$12:Simulation!$L$26,28),1)</f>
        <v>1</v>
      </c>
      <c r="X39" s="99">
        <f>IF(ISNUMBER(SMALL(Simulation!$M$12:Simulation!$N$26,28)),SMALL(Simulation!$M$12:Simulation!$N$26,28),1)</f>
        <v>1</v>
      </c>
      <c r="Y39" s="99">
        <f>IF(ISNUMBER(SMALL(Simulation!$O$12:Simulation!$P$26,28)),SMALL(Simulation!$O$12:Simulation!$P$26,28),1)</f>
        <v>1</v>
      </c>
    </row>
    <row r="40" spans="22:25" ht="12.75">
      <c r="V40" s="77">
        <f>IF(ISNUMBER(SMALL(Simulation!$I$12:Simulation!$J$26,29)),SMALL(Simulation!$I$12:Simulation!$J$26,29),1)</f>
        <v>1</v>
      </c>
      <c r="W40" s="99">
        <f>IF(ISNUMBER(SMALL(Simulation!$K$12:Simulation!$L$26,29)),SMALL(Simulation!$K$12:Simulation!$L$26,29),1)</f>
        <v>1</v>
      </c>
      <c r="X40" s="99">
        <f>IF(ISNUMBER(SMALL(Simulation!$M$12:Simulation!$N$26,29)),SMALL(Simulation!$M$12:Simulation!$N$26,29),1)</f>
        <v>1</v>
      </c>
      <c r="Y40" s="99">
        <f>IF(ISNUMBER(SMALL(Simulation!$O$12:Simulation!$P$26,29)),SMALL(Simulation!$O$12:Simulation!$P$26,29),1)</f>
        <v>1</v>
      </c>
    </row>
    <row r="41" spans="22:25" ht="12.75">
      <c r="V41" s="77">
        <f>IF(ISNUMBER(SMALL(Simulation!$I$12:Simulation!$J$26,30)),SMALL(Simulation!$I$12:Simulation!$J$26,30),1)</f>
        <v>1</v>
      </c>
      <c r="W41" s="99">
        <f>IF(ISNUMBER(SMALL(Simulation!$K$12:Simulation!$L$26,30)),SMALL(Simulation!$K$12:Simulation!$L$26,30),1)</f>
        <v>1</v>
      </c>
      <c r="X41" s="99">
        <f>IF(ISNUMBER(SMALL(Simulation!$M$12:Simulation!$N$26,30)),SMALL(Simulation!$M$12:Simulation!$N$26,30),1)</f>
        <v>1</v>
      </c>
      <c r="Y41" s="99">
        <f>IF(ISNUMBER(SMALL(Simulation!$O$12:Simulation!$P$26,30)),SMALL(Simulation!$O$12:Simulation!$P$26,30),1)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84</v>
      </c>
    </row>
    <row r="2" ht="15.75">
      <c r="A2" s="2" t="s">
        <v>53</v>
      </c>
    </row>
    <row r="3" ht="12.75" customHeight="1">
      <c r="B3" s="3" t="s">
        <v>54</v>
      </c>
    </row>
    <row r="4" ht="12.75" customHeight="1">
      <c r="B4" s="3"/>
    </row>
    <row r="5" ht="12.75">
      <c r="A5" s="4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10" ht="12.75">
      <c r="A10" s="4" t="s">
        <v>59</v>
      </c>
    </row>
    <row r="11" ht="12.75">
      <c r="A11" t="s">
        <v>60</v>
      </c>
    </row>
    <row r="12" ht="12.75">
      <c r="A12" t="s">
        <v>85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86</v>
      </c>
    </row>
    <row r="19" ht="12.75">
      <c r="A19" t="s">
        <v>87</v>
      </c>
    </row>
    <row r="20" ht="12.75">
      <c r="A20" t="s">
        <v>66</v>
      </c>
    </row>
    <row r="22" ht="12.75">
      <c r="A22" s="4" t="s">
        <v>67</v>
      </c>
    </row>
    <row r="23" ht="12.75">
      <c r="A23" t="s">
        <v>88</v>
      </c>
    </row>
    <row r="24" ht="12.75">
      <c r="A24" t="s">
        <v>89</v>
      </c>
    </row>
    <row r="25" ht="12.75">
      <c r="A25" t="s">
        <v>85</v>
      </c>
    </row>
    <row r="26" ht="12.75">
      <c r="A26" t="s">
        <v>68</v>
      </c>
    </row>
    <row r="27" ht="12.75">
      <c r="A27" t="s">
        <v>69</v>
      </c>
    </row>
    <row r="29" ht="12.75">
      <c r="A29" s="4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4" ht="12.75">
      <c r="A34" s="4" t="s">
        <v>74</v>
      </c>
    </row>
    <row r="35" ht="12.75">
      <c r="A35" t="s">
        <v>90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91</v>
      </c>
    </row>
    <row r="40" ht="12.75">
      <c r="A40" t="s">
        <v>92</v>
      </c>
    </row>
    <row r="41" ht="12.75">
      <c r="A41" t="s">
        <v>93</v>
      </c>
    </row>
    <row r="43" ht="12.75">
      <c r="A43" s="4" t="s">
        <v>78</v>
      </c>
    </row>
    <row r="44" ht="12.75">
      <c r="A44" t="s">
        <v>94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50" ht="12.75">
      <c r="A50" s="4" t="s">
        <v>83</v>
      </c>
    </row>
    <row r="51" ht="12.75">
      <c r="A51" t="s">
        <v>95</v>
      </c>
    </row>
    <row r="52" ht="12.75">
      <c r="A52" t="s">
        <v>96</v>
      </c>
    </row>
    <row r="54" ht="12.75">
      <c r="A54" s="96" t="s">
        <v>97</v>
      </c>
    </row>
    <row r="55" ht="12.75">
      <c r="A55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  <row r="60" ht="12.75">
      <c r="A60" s="5" t="s">
        <v>102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2001-03-19T00:57:13Z</dcterms:created>
  <dcterms:modified xsi:type="dcterms:W3CDTF">2001-09-17T16:06:11Z</dcterms:modified>
  <cp:category/>
  <cp:version/>
  <cp:contentType/>
  <cp:contentStatus/>
</cp:coreProperties>
</file>