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<sst xmlns="http://schemas.openxmlformats.org/spreadsheetml/2006/main" count="163" uniqueCount="101">
  <si>
    <t>Spreadsheet Simulation Queueing Engine:  1 Server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</si>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</sst>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0.3763888888888889</c:v>
                </c:pt>
                <c:pt idx="1">
                  <c:v>0.3770833333333333</c:v>
                </c:pt>
                <c:pt idx="2">
                  <c:v>0.37777777777777777</c:v>
                </c:pt>
                <c:pt idx="3">
                  <c:v>0.3784722222222222</c:v>
                </c:pt>
                <c:pt idx="4">
                  <c:v>0.37916666666666665</c:v>
                </c:pt>
                <c:pt idx="5">
                  <c:v>0.3798611111111111</c:v>
                </c:pt>
                <c:pt idx="6">
                  <c:v>0.38055555555555554</c:v>
                </c:pt>
                <c:pt idx="7">
                  <c:v>0.38125</c:v>
                </c:pt>
                <c:pt idx="8">
                  <c:v>0.3819444444444444</c:v>
                </c:pt>
                <c:pt idx="9">
                  <c:v>0.38263888888888886</c:v>
                </c:pt>
                <c:pt idx="10">
                  <c:v>0.38402777777777775</c:v>
                </c:pt>
                <c:pt idx="11">
                  <c:v>0.3847222222222222</c:v>
                </c:pt>
                <c:pt idx="12">
                  <c:v>0.38541666666666663</c:v>
                </c:pt>
                <c:pt idx="13">
                  <c:v>0.38611111111111107</c:v>
                </c:pt>
                <c:pt idx="14">
                  <c:v>0.3868055555555555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Computations!$Q$12:$Q$26</c:f>
              <c:numCache>
                <c:ptCount val="15"/>
                <c:pt idx="0">
                  <c:v>0</c:v>
                </c:pt>
                <c:pt idx="1">
                  <c:v>0.000694444444444442</c:v>
                </c:pt>
                <c:pt idx="2">
                  <c:v>0.001388888888888884</c:v>
                </c:pt>
                <c:pt idx="3">
                  <c:v>0</c:v>
                </c:pt>
                <c:pt idx="4">
                  <c:v>0.001388888888888884</c:v>
                </c:pt>
                <c:pt idx="5">
                  <c:v>0</c:v>
                </c:pt>
                <c:pt idx="6">
                  <c:v>0.001388888888888884</c:v>
                </c:pt>
                <c:pt idx="7">
                  <c:v>0</c:v>
                </c:pt>
                <c:pt idx="8">
                  <c:v>0.001388888888888884</c:v>
                </c:pt>
                <c:pt idx="9">
                  <c:v>0</c:v>
                </c:pt>
                <c:pt idx="10">
                  <c:v>0.001388888888888884</c:v>
                </c:pt>
                <c:pt idx="11">
                  <c:v>0</c:v>
                </c:pt>
                <c:pt idx="12">
                  <c:v>0.001388888888888884</c:v>
                </c:pt>
                <c:pt idx="13">
                  <c:v>0</c:v>
                </c:pt>
                <c:pt idx="14">
                  <c:v>0.000694444444444442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Computations!$P$12:$P$26</c:f>
              <c:numCache>
                <c:ptCount val="15"/>
                <c:pt idx="0">
                  <c:v>0.001388888888888889</c:v>
                </c:pt>
                <c:pt idx="1">
                  <c:v>0.002777777777777778</c:v>
                </c:pt>
                <c:pt idx="2">
                  <c:v>0</c:v>
                </c:pt>
                <c:pt idx="3">
                  <c:v>0</c:v>
                </c:pt>
                <c:pt idx="4">
                  <c:v>0.002777777777777778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0.004166666666666667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6792415"/>
        <c:axId val="61131736"/>
      </c:barChart>
      <c:catAx>
        <c:axId val="679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  <c:max val="0.3888888888888889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Computations!$S$21</c:f>
              <c:numCache>
                <c:ptCount val="1"/>
                <c:pt idx="0">
                  <c:v>0.3916666666666666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Computations!$S$20</c:f>
              <c:numCache>
                <c:ptCount val="1"/>
                <c:pt idx="0">
                  <c:v>0.38749999999999996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Computations!$S$19</c:f>
              <c:numCache>
                <c:ptCount val="1"/>
                <c:pt idx="0">
                  <c:v>0.38749999999999996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Computations!$S$18</c:f>
              <c:numCache>
                <c:ptCount val="1"/>
                <c:pt idx="0">
                  <c:v>0.3833333333333333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Computations!$S$17</c:f>
              <c:numCache>
                <c:ptCount val="1"/>
                <c:pt idx="0">
                  <c:v>0.3833333333333333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Computations!$S$16</c:f>
              <c:numCache>
                <c:ptCount val="1"/>
                <c:pt idx="0">
                  <c:v>0.38055555555555554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Computations!$S$15</c:f>
              <c:numCache>
                <c:ptCount val="1"/>
                <c:pt idx="0">
                  <c:v>0.38055555555555554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Computations!$S$14</c:f>
              <c:numCache>
                <c:ptCount val="1"/>
                <c:pt idx="0">
                  <c:v>0.37777777777777777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Computations!$S$13</c:f>
              <c:numCache>
                <c:ptCount val="1"/>
                <c:pt idx="0">
                  <c:v>0.37777777777777777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Computations!$S$12</c:f>
              <c:numCache>
                <c:ptCount val="1"/>
                <c:pt idx="0">
                  <c:v>0.3763888888888889</c:v>
                </c:pt>
              </c:numCache>
            </c:numRef>
          </c:val>
        </c:ser>
        <c:overlap val="100"/>
        <c:axId val="13314713"/>
        <c:axId val="52723554"/>
      </c:barChart>
      <c:catAx>
        <c:axId val="1331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  <c:max val="0.3888888888888889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161925</xdr:colOff>
      <xdr:row>50</xdr:row>
      <xdr:rowOff>152400</xdr:rowOff>
    </xdr:to>
    <xdr:graphicFrame>
      <xdr:nvGraphicFramePr>
        <xdr:cNvPr id="1" name="Chart 3"/>
        <xdr:cNvGraphicFramePr/>
      </xdr:nvGraphicFramePr>
      <xdr:xfrm>
        <a:off x="0" y="4486275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27</xdr:row>
      <xdr:rowOff>104775</xdr:rowOff>
    </xdr:from>
    <xdr:to>
      <xdr:col>21</xdr:col>
      <xdr:colOff>114300</xdr:colOff>
      <xdr:row>50</xdr:row>
      <xdr:rowOff>152400</xdr:rowOff>
    </xdr:to>
    <xdr:graphicFrame>
      <xdr:nvGraphicFramePr>
        <xdr:cNvPr id="2" name="Chart 4"/>
        <xdr:cNvGraphicFramePr/>
      </xdr:nvGraphicFramePr>
      <xdr:xfrm>
        <a:off x="6200775" y="4486275"/>
        <a:ext cx="62103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0.3888888888888889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2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4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2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6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1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11" customWidth="1"/>
    <col min="2" max="2" width="12.140625" style="78" customWidth="1"/>
    <col min="3" max="3" width="9.140625" style="11" customWidth="1"/>
    <col min="4" max="4" width="9.71093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0" width="9.140625" style="12" customWidth="1"/>
    <col min="11" max="11" width="11.140625" style="65" customWidth="1"/>
    <col min="12" max="13" width="9.140625" style="11" customWidth="1"/>
    <col min="14" max="14" width="7.421875" style="11" customWidth="1"/>
    <col min="15" max="19" width="7.7109375" style="11" customWidth="1"/>
    <col min="20" max="20" width="9.140625" style="78" customWidth="1"/>
    <col min="21" max="21" width="9.140625" style="12" customWidth="1"/>
    <col min="22" max="16384" width="9.140625" style="11" customWidth="1"/>
  </cols>
  <sheetData>
    <row r="1" spans="1:21" ht="12.75">
      <c r="A1" s="13"/>
      <c r="B1" s="76"/>
      <c r="C1" s="13"/>
      <c r="D1" s="76"/>
      <c r="E1" s="13"/>
      <c r="F1" s="13"/>
      <c r="G1" s="77"/>
      <c r="H1" s="13"/>
      <c r="I1" s="13"/>
      <c r="J1" s="13"/>
      <c r="T1" s="11"/>
      <c r="U1" s="11"/>
    </row>
    <row r="2" spans="1:21" ht="12.75">
      <c r="A2" s="13"/>
      <c r="B2" s="76"/>
      <c r="C2" s="13"/>
      <c r="D2" s="76"/>
      <c r="E2" s="13"/>
      <c r="F2" s="13"/>
      <c r="G2" s="77"/>
      <c r="H2" s="13"/>
      <c r="I2" s="13"/>
      <c r="J2" s="13"/>
      <c r="T2" s="11"/>
      <c r="U2" s="11"/>
    </row>
    <row r="3" spans="1:21" ht="12.75">
      <c r="A3" s="13"/>
      <c r="B3" s="76"/>
      <c r="C3" s="13"/>
      <c r="D3" s="76"/>
      <c r="E3" s="13"/>
      <c r="F3" s="13"/>
      <c r="G3" s="77"/>
      <c r="H3" s="13"/>
      <c r="I3" s="13"/>
      <c r="J3" s="13"/>
      <c r="T3" s="11"/>
      <c r="U3" s="11"/>
    </row>
    <row r="4" spans="1:21" ht="12.75">
      <c r="A4" s="13"/>
      <c r="B4" s="76"/>
      <c r="C4" s="13"/>
      <c r="D4" s="76"/>
      <c r="E4" s="13"/>
      <c r="F4" s="13"/>
      <c r="G4" s="77"/>
      <c r="H4" s="13"/>
      <c r="I4" s="13"/>
      <c r="J4" s="13"/>
      <c r="T4" s="11"/>
      <c r="U4" s="11"/>
    </row>
    <row r="6" ht="12.75">
      <c r="D6" s="79" t="s">
        <v>16</v>
      </c>
    </row>
    <row r="7" spans="1:13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1" t="s">
        <v>20</v>
      </c>
      <c r="L7" s="59" t="s">
        <v>22</v>
      </c>
      <c r="M7" s="59" t="s">
        <v>23</v>
      </c>
    </row>
    <row r="8" spans="1:13" s="59" customFormat="1" ht="12.75">
      <c r="A8" s="59" t="s">
        <v>24</v>
      </c>
      <c r="B8" s="79" t="s">
        <v>14</v>
      </c>
      <c r="C8" s="79" t="s">
        <v>14</v>
      </c>
      <c r="D8" s="79" t="s">
        <v>25</v>
      </c>
      <c r="E8" s="59" t="s">
        <v>26</v>
      </c>
      <c r="F8" s="59" t="s">
        <v>27</v>
      </c>
      <c r="G8" s="60" t="s">
        <v>28</v>
      </c>
      <c r="H8" s="59" t="s">
        <v>14</v>
      </c>
      <c r="I8" s="81" t="s">
        <v>29</v>
      </c>
      <c r="J8" s="81" t="s">
        <v>30</v>
      </c>
      <c r="K8" s="81" t="s">
        <v>31</v>
      </c>
      <c r="L8" s="82" t="s">
        <v>14</v>
      </c>
      <c r="M8" s="82" t="s">
        <v>14</v>
      </c>
    </row>
    <row r="9" spans="1:13" s="59" customFormat="1" ht="13.5" thickBot="1">
      <c r="A9" s="61"/>
      <c r="B9" s="83" t="s">
        <v>15</v>
      </c>
      <c r="C9" s="61" t="s">
        <v>32</v>
      </c>
      <c r="D9" s="83" t="s">
        <v>33</v>
      </c>
      <c r="E9" s="61"/>
      <c r="F9" s="61"/>
      <c r="G9" s="64" t="s">
        <v>32</v>
      </c>
      <c r="H9" s="61" t="s">
        <v>15</v>
      </c>
      <c r="I9" s="61" t="s">
        <v>32</v>
      </c>
      <c r="J9" s="61" t="s">
        <v>32</v>
      </c>
      <c r="K9" s="61" t="s">
        <v>32</v>
      </c>
      <c r="L9" s="61" t="s">
        <v>32</v>
      </c>
      <c r="M9" s="61" t="s">
        <v>32</v>
      </c>
    </row>
    <row r="10" spans="2:11" s="65" customFormat="1" ht="12.75">
      <c r="B10" s="84"/>
      <c r="D10" s="84"/>
      <c r="G10" s="85"/>
      <c r="I10" s="85"/>
      <c r="J10" s="85"/>
      <c r="K10" s="85"/>
    </row>
    <row r="11" spans="1:13" s="65" customFormat="1" ht="12.75">
      <c r="A11" s="88" t="s">
        <v>34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88"/>
      <c r="M11" s="88"/>
    </row>
    <row r="12" spans="1:13" s="65" customFormat="1" ht="12.75">
      <c r="A12" s="88">
        <f>Computations!A12</f>
        <v>1</v>
      </c>
      <c r="B12" s="89">
        <f>IF(ISTEXT(C12),"",Computations!B12)</f>
        <v>2</v>
      </c>
      <c r="C12" s="90">
        <f>IF(Computations!F12="closed",Computations!F11+Computations!C12,Computations!F12)</f>
        <v>0.3763888888888889</v>
      </c>
      <c r="D12" s="89">
        <f>IF(ISTEXT(A12),"",Computations!G12)</f>
        <v>0</v>
      </c>
      <c r="E12" s="88">
        <f>Computations!H12</f>
      </c>
      <c r="F12" s="88">
        <f>Computations!L12</f>
      </c>
      <c r="G12" s="90">
        <f>Computations!M12</f>
      </c>
      <c r="H12" s="88">
        <f>IF(ISTEXT(Computations!N12),"",Computations!D12)</f>
        <v>2</v>
      </c>
      <c r="I12" s="90">
        <f>IF(Computations!$O12=1,Computations!N12,"")</f>
        <v>0.3763888888888889</v>
      </c>
      <c r="J12" s="90">
        <f>IF(ISTEXT($I12),"",$I12+Computations!$E12)</f>
        <v>0.37777777777777777</v>
      </c>
      <c r="K12" s="90">
        <f>IF(F12="renege",G12-C12,"")</f>
      </c>
      <c r="L12" s="90">
        <f>IF(F12="renege","",Computations!K12)</f>
        <v>0</v>
      </c>
      <c r="M12" s="90">
        <f>IF(ISTEXT($L12),"",Computations!$E12+L12)</f>
        <v>0.001388888888888889</v>
      </c>
    </row>
    <row r="13" spans="1:13" s="65" customFormat="1" ht="12.75">
      <c r="A13" s="88">
        <f>Computations!A13</f>
        <v>2</v>
      </c>
      <c r="B13" s="89">
        <f>IF(ISTEXT(C13),"",Computations!B13)</f>
        <v>1</v>
      </c>
      <c r="C13" s="90">
        <f>IF(Computations!F13="closed",Computations!F12+Computations!C13,Computations!F13)</f>
        <v>0.3770833333333333</v>
      </c>
      <c r="D13" s="89">
        <f>IF(ISTEXT(A13),"",Computations!G13)</f>
        <v>0</v>
      </c>
      <c r="E13" s="88">
        <f>Computations!H13</f>
      </c>
      <c r="F13" s="88">
        <f>Computations!L13</f>
      </c>
      <c r="G13" s="90">
        <f>Computations!M13</f>
      </c>
      <c r="H13" s="88">
        <f>IF(ISTEXT(Computations!N13),"",Computations!D13)</f>
        <v>4</v>
      </c>
      <c r="I13" s="90">
        <f>IF(Computations!$O13=1,Computations!N13,"")</f>
        <v>0.37777777777777777</v>
      </c>
      <c r="J13" s="90">
        <f>IF(ISTEXT($I13),"",$I13+Computations!$E13)</f>
        <v>0.38055555555555554</v>
      </c>
      <c r="K13" s="90">
        <f aca="true" t="shared" si="0" ref="K13:K26">IF(F13="renege",G13-C13,"")</f>
      </c>
      <c r="L13" s="90">
        <f>IF(F13="renege","",Computations!K13)</f>
        <v>0.000694444444444442</v>
      </c>
      <c r="M13" s="90">
        <f>IF(ISTEXT($L13),"",Computations!$E13+L13)</f>
        <v>0.00347222222222222</v>
      </c>
    </row>
    <row r="14" spans="1:13" s="65" customFormat="1" ht="12.75">
      <c r="A14" s="88">
        <f>Computations!A14</f>
        <v>3</v>
      </c>
      <c r="B14" s="89">
        <f>IF(ISTEXT(C14),"",Computations!B14)</f>
        <v>1</v>
      </c>
      <c r="C14" s="90">
        <f>IF(Computations!F14="closed",Computations!F13+Computations!C14,Computations!F14)</f>
        <v>0.37777777777777777</v>
      </c>
      <c r="D14" s="89">
        <f>IF(ISTEXT(A14),"",Computations!G14)</f>
        <v>0</v>
      </c>
      <c r="E14" s="88">
        <f>Computations!H14</f>
      </c>
      <c r="F14" s="88" t="str">
        <f>Computations!L14</f>
        <v>renege</v>
      </c>
      <c r="G14" s="90">
        <f>Computations!M14</f>
        <v>0.37916666666666665</v>
      </c>
      <c r="H14" s="88">
        <f>IF(ISTEXT(Computations!N14),"",Computations!D14)</f>
      </c>
      <c r="I14" s="90">
        <f>IF(Computations!$O14=1,Computations!N14,"")</f>
      </c>
      <c r="J14" s="90">
        <f>IF(ISTEXT($I14),"",$I14+Computations!$E14)</f>
      </c>
      <c r="K14" s="90">
        <f t="shared" si="0"/>
        <v>0.001388888888888884</v>
      </c>
      <c r="L14" s="90">
        <f>IF(F14="renege","",Computations!K14)</f>
      </c>
      <c r="M14" s="90">
        <f>IF(ISTEXT($L14),"",Computations!$E14+L14)</f>
      </c>
    </row>
    <row r="15" spans="1:13" s="65" customFormat="1" ht="12.75">
      <c r="A15" s="88">
        <f>Computations!A15</f>
        <v>4</v>
      </c>
      <c r="B15" s="89">
        <f>IF(ISTEXT(C15),"",Computations!B15)</f>
        <v>1</v>
      </c>
      <c r="C15" s="90">
        <f>IF(Computations!F15="closed",Computations!F14+Computations!C15,Computations!F15)</f>
        <v>0.3784722222222222</v>
      </c>
      <c r="D15" s="89">
        <f>IF(ISTEXT(A15),"",Computations!G15)</f>
        <v>1</v>
      </c>
      <c r="E15" s="88" t="str">
        <f>Computations!H15</f>
        <v>balk</v>
      </c>
      <c r="F15" s="88">
        <f>Computations!L15</f>
      </c>
      <c r="G15" s="90">
        <f>Computations!M15</f>
      </c>
      <c r="H15" s="88">
        <f>IF(ISTEXT(Computations!N15),"",Computations!D15)</f>
      </c>
      <c r="I15" s="90">
        <f>IF(Computations!$O15=1,Computations!N15,"")</f>
      </c>
      <c r="J15" s="90">
        <f>IF(ISTEXT($I15),"",$I15+Computations!$E15)</f>
      </c>
      <c r="K15" s="90">
        <f t="shared" si="0"/>
      </c>
      <c r="L15" s="90">
        <f>IF(F15="renege","",Computations!K15)</f>
      </c>
      <c r="M15" s="90">
        <f>IF(ISTEXT($L15),"",Computations!$E15+L15)</f>
      </c>
    </row>
    <row r="16" spans="1:13" s="65" customFormat="1" ht="12.75">
      <c r="A16" s="88">
        <f>Computations!A16</f>
        <v>5</v>
      </c>
      <c r="B16" s="89">
        <f>IF(ISTEXT(C16),"",Computations!B16)</f>
        <v>1</v>
      </c>
      <c r="C16" s="90">
        <f>IF(Computations!F16="closed",Computations!F15+Computations!C16,Computations!F16)</f>
        <v>0.37916666666666665</v>
      </c>
      <c r="D16" s="89">
        <f>IF(ISTEXT(A16),"",Computations!G16)</f>
        <v>0</v>
      </c>
      <c r="E16" s="88">
        <f>Computations!H16</f>
      </c>
      <c r="F16" s="88">
        <f>Computations!L16</f>
      </c>
      <c r="G16" s="90">
        <f>Computations!M16</f>
      </c>
      <c r="H16" s="88">
        <f>IF(ISTEXT(Computations!N16),"",Computations!D16)</f>
        <v>4</v>
      </c>
      <c r="I16" s="90">
        <f>IF(Computations!$O16=1,Computations!N16,"")</f>
        <v>0.38055555555555554</v>
      </c>
      <c r="J16" s="90">
        <f>IF(ISTEXT($I16),"",$I16+Computations!$E16)</f>
        <v>0.3833333333333333</v>
      </c>
      <c r="K16" s="90">
        <f t="shared" si="0"/>
      </c>
      <c r="L16" s="90">
        <f>IF(F16="renege","",Computations!K16)</f>
        <v>0.001388888888888884</v>
      </c>
      <c r="M16" s="90">
        <f>IF(ISTEXT($L16),"",Computations!$E16+L16)</f>
        <v>0.004166666666666662</v>
      </c>
    </row>
    <row r="17" spans="1:13" s="65" customFormat="1" ht="12.75">
      <c r="A17" s="88">
        <f>Computations!A17</f>
        <v>6</v>
      </c>
      <c r="B17" s="89">
        <f>IF(ISTEXT(C17),"",Computations!B17)</f>
        <v>1</v>
      </c>
      <c r="C17" s="90">
        <f>IF(Computations!F17="closed",Computations!F16+Computations!C17,Computations!F17)</f>
        <v>0.3798611111111111</v>
      </c>
      <c r="D17" s="89">
        <f>IF(ISTEXT(A17),"",Computations!G17)</f>
        <v>1</v>
      </c>
      <c r="E17" s="88" t="str">
        <f>Computations!H17</f>
        <v>balk</v>
      </c>
      <c r="F17" s="88">
        <f>Computations!L17</f>
      </c>
      <c r="G17" s="90">
        <f>Computations!M17</f>
      </c>
      <c r="H17" s="88">
        <f>IF(ISTEXT(Computations!N17),"",Computations!D17)</f>
      </c>
      <c r="I17" s="90">
        <f>IF(Computations!$O17=1,Computations!N17,"")</f>
      </c>
      <c r="J17" s="90">
        <f>IF(ISTEXT($I17),"",$I17+Computations!$E17)</f>
      </c>
      <c r="K17" s="90">
        <f t="shared" si="0"/>
      </c>
      <c r="L17" s="90">
        <f>IF(F17="renege","",Computations!K17)</f>
      </c>
      <c r="M17" s="90">
        <f>IF(ISTEXT($L17),"",Computations!$E17+L17)</f>
      </c>
    </row>
    <row r="18" spans="1:13" s="65" customFormat="1" ht="12.75">
      <c r="A18" s="88">
        <f>Computations!A18</f>
        <v>7</v>
      </c>
      <c r="B18" s="89">
        <f>IF(ISTEXT(C18),"",Computations!B18)</f>
        <v>1</v>
      </c>
      <c r="C18" s="90">
        <f>IF(Computations!F18="closed",Computations!F17+Computations!C18,Computations!F18)</f>
        <v>0.38055555555555554</v>
      </c>
      <c r="D18" s="89">
        <f>IF(ISTEXT(A18),"",Computations!G18)</f>
        <v>0</v>
      </c>
      <c r="E18" s="88">
        <f>Computations!H18</f>
      </c>
      <c r="F18" s="88" t="str">
        <f>Computations!L18</f>
        <v>renege</v>
      </c>
      <c r="G18" s="90">
        <f>Computations!M18</f>
        <v>0.3819444444444444</v>
      </c>
      <c r="H18" s="88">
        <f>IF(ISTEXT(Computations!N18),"",Computations!D18)</f>
      </c>
      <c r="I18" s="90">
        <f>IF(Computations!$O18=1,Computations!N18,"")</f>
      </c>
      <c r="J18" s="90">
        <f>IF(ISTEXT($I18),"",$I18+Computations!$E18)</f>
      </c>
      <c r="K18" s="90">
        <f t="shared" si="0"/>
        <v>0.001388888888888884</v>
      </c>
      <c r="L18" s="90">
        <f>IF(F18="renege","",Computations!K18)</f>
      </c>
      <c r="M18" s="90">
        <f>IF(ISTEXT($L18),"",Computations!$E18+L18)</f>
      </c>
    </row>
    <row r="19" spans="1:13" s="65" customFormat="1" ht="12.75">
      <c r="A19" s="88">
        <f>Computations!A19</f>
        <v>8</v>
      </c>
      <c r="B19" s="89">
        <f>IF(ISTEXT(C19),"",Computations!B19)</f>
        <v>1</v>
      </c>
      <c r="C19" s="90">
        <f>IF(Computations!F19="closed",Computations!F18+Computations!C19,Computations!F19)</f>
        <v>0.38125</v>
      </c>
      <c r="D19" s="89">
        <f>IF(ISTEXT(A19),"",Computations!G19)</f>
        <v>1</v>
      </c>
      <c r="E19" s="88" t="str">
        <f>Computations!H19</f>
        <v>balk</v>
      </c>
      <c r="F19" s="88">
        <f>Computations!L19</f>
      </c>
      <c r="G19" s="90">
        <f>Computations!M19</f>
      </c>
      <c r="H19" s="88">
        <f>IF(ISTEXT(Computations!N19),"",Computations!D19)</f>
      </c>
      <c r="I19" s="90">
        <f>IF(Computations!$O19=1,Computations!N19,"")</f>
      </c>
      <c r="J19" s="90">
        <f>IF(ISTEXT($I19),"",$I19+Computations!$E19)</f>
      </c>
      <c r="K19" s="90">
        <f t="shared" si="0"/>
      </c>
      <c r="L19" s="90">
        <f>IF(F19="renege","",Computations!K19)</f>
      </c>
      <c r="M19" s="90">
        <f>IF(ISTEXT($L19),"",Computations!$E19+L19)</f>
      </c>
    </row>
    <row r="20" spans="1:13" s="65" customFormat="1" ht="12.75">
      <c r="A20" s="88">
        <f>Computations!A20</f>
        <v>9</v>
      </c>
      <c r="B20" s="89">
        <f>IF(ISTEXT(C20),"",Computations!B20)</f>
        <v>1</v>
      </c>
      <c r="C20" s="90">
        <f>IF(Computations!F20="closed",Computations!F19+Computations!C20,Computations!F20)</f>
        <v>0.3819444444444444</v>
      </c>
      <c r="D20" s="89">
        <f>IF(ISTEXT(A20),"",Computations!G20)</f>
        <v>0</v>
      </c>
      <c r="E20" s="88">
        <f>Computations!H20</f>
      </c>
      <c r="F20" s="88">
        <f>Computations!L20</f>
      </c>
      <c r="G20" s="90">
        <f>Computations!M20</f>
      </c>
      <c r="H20" s="88">
        <f>IF(ISTEXT(Computations!N20),"",Computations!D20)</f>
        <v>6</v>
      </c>
      <c r="I20" s="90">
        <f>IF(Computations!$O20=1,Computations!N20,"")</f>
        <v>0.3833333333333333</v>
      </c>
      <c r="J20" s="90">
        <f>IF(ISTEXT($I20),"",$I20+Computations!$E20)</f>
        <v>0.38749999999999996</v>
      </c>
      <c r="K20" s="90">
        <f t="shared" si="0"/>
      </c>
      <c r="L20" s="90">
        <f>IF(F20="renege","",Computations!K20)</f>
        <v>0.001388888888888884</v>
      </c>
      <c r="M20" s="90">
        <f>IF(ISTEXT($L20),"",Computations!$E20+L20)</f>
        <v>0.0055555555555555506</v>
      </c>
    </row>
    <row r="21" spans="1:13" s="65" customFormat="1" ht="12.75">
      <c r="A21" s="88">
        <f>Computations!A21</f>
        <v>10</v>
      </c>
      <c r="B21" s="89">
        <f>IF(ISTEXT(C21),"",Computations!B21)</f>
        <v>1</v>
      </c>
      <c r="C21" s="90">
        <f>IF(Computations!F21="closed",Computations!F20+Computations!C21,Computations!F21)</f>
        <v>0.38263888888888886</v>
      </c>
      <c r="D21" s="89">
        <f>IF(ISTEXT(A21),"",Computations!G21)</f>
        <v>1</v>
      </c>
      <c r="E21" s="88" t="str">
        <f>Computations!H21</f>
        <v>balk</v>
      </c>
      <c r="F21" s="88">
        <f>Computations!L21</f>
      </c>
      <c r="G21" s="90">
        <f>Computations!M21</f>
      </c>
      <c r="H21" s="88">
        <f>IF(ISTEXT(Computations!N21),"",Computations!D21)</f>
      </c>
      <c r="I21" s="90">
        <f>IF(Computations!$O21=1,Computations!N21,"")</f>
      </c>
      <c r="J21" s="90">
        <f>IF(ISTEXT($I21),"",$I21+Computations!$E21)</f>
      </c>
      <c r="K21" s="90">
        <f t="shared" si="0"/>
      </c>
      <c r="L21" s="90">
        <f>IF(F21="renege","",Computations!K21)</f>
      </c>
      <c r="M21" s="90">
        <f>IF(ISTEXT($L21),"",Computations!$E21+L21)</f>
      </c>
    </row>
    <row r="22" spans="1:13" s="65" customFormat="1" ht="12.75">
      <c r="A22" s="88">
        <f>Computations!A22</f>
        <v>11</v>
      </c>
      <c r="B22" s="89">
        <f>IF(ISTEXT(C22),"",Computations!B22)</f>
        <v>2</v>
      </c>
      <c r="C22" s="90">
        <f>IF(Computations!F22="closed",Computations!F21+Computations!C22,Computations!F22)</f>
        <v>0.38402777777777775</v>
      </c>
      <c r="D22" s="89">
        <f>IF(ISTEXT(A22),"",Computations!G22)</f>
        <v>0</v>
      </c>
      <c r="E22" s="88">
        <f>Computations!H22</f>
      </c>
      <c r="F22" s="88" t="str">
        <f>Computations!L22</f>
        <v>renege</v>
      </c>
      <c r="G22" s="90">
        <f>Computations!M22</f>
        <v>0.38541666666666663</v>
      </c>
      <c r="H22" s="88">
        <f>IF(ISTEXT(Computations!N22),"",Computations!D22)</f>
      </c>
      <c r="I22" s="90">
        <f>IF(Computations!$O22=1,Computations!N22,"")</f>
      </c>
      <c r="J22" s="90">
        <f>IF(ISTEXT($I22),"",$I22+Computations!$E22)</f>
      </c>
      <c r="K22" s="90">
        <f t="shared" si="0"/>
        <v>0.001388888888888884</v>
      </c>
      <c r="L22" s="90">
        <f>IF(F22="renege","",Computations!K22)</f>
      </c>
      <c r="M22" s="90">
        <f>IF(ISTEXT($L22),"",Computations!$E22+L22)</f>
      </c>
    </row>
    <row r="23" spans="1:23" ht="12.75">
      <c r="A23" s="88">
        <f>Computations!A23</f>
        <v>12</v>
      </c>
      <c r="B23" s="89">
        <f>IF(ISTEXT(C23),"",Computations!B23)</f>
        <v>1</v>
      </c>
      <c r="C23" s="90">
        <f>IF(Computations!F23="closed",Computations!F22+Computations!C23,Computations!F23)</f>
        <v>0.3847222222222222</v>
      </c>
      <c r="D23" s="89">
        <f>IF(ISTEXT(A23),"",Computations!G23)</f>
        <v>1</v>
      </c>
      <c r="E23" s="88" t="str">
        <f>Computations!H23</f>
        <v>balk</v>
      </c>
      <c r="F23" s="88">
        <f>Computations!L23</f>
      </c>
      <c r="G23" s="90">
        <f>Computations!M23</f>
      </c>
      <c r="H23" s="88">
        <f>IF(ISTEXT(Computations!N23),"",Computations!D23)</f>
      </c>
      <c r="I23" s="90">
        <f>IF(Computations!$O23=1,Computations!N23,"")</f>
      </c>
      <c r="J23" s="90">
        <f>IF(ISTEXT($I23),"",$I23+Computations!$E23)</f>
      </c>
      <c r="K23" s="90">
        <f t="shared" si="0"/>
      </c>
      <c r="L23" s="90">
        <f>IF(F23="renege","",Computations!K23)</f>
      </c>
      <c r="M23" s="90">
        <f>IF(ISTEXT($L23),"",Computations!$E23+L23)</f>
      </c>
      <c r="W23" s="65"/>
    </row>
    <row r="24" spans="1:13" ht="12.75">
      <c r="A24" s="88">
        <f>Computations!A24</f>
        <v>13</v>
      </c>
      <c r="B24" s="89">
        <f>IF(ISTEXT(C24),"",Computations!B24)</f>
        <v>1</v>
      </c>
      <c r="C24" s="90">
        <f>IF(Computations!F24="closed",Computations!F23+Computations!C24,Computations!F24)</f>
        <v>0.38541666666666663</v>
      </c>
      <c r="D24" s="89">
        <f>IF(ISTEXT(A24),"",Computations!G24)</f>
        <v>0</v>
      </c>
      <c r="E24" s="88">
        <f>Computations!H24</f>
      </c>
      <c r="F24" s="88" t="str">
        <f>Computations!L24</f>
        <v>renege</v>
      </c>
      <c r="G24" s="90">
        <f>Computations!M24</f>
        <v>0.3868055555555555</v>
      </c>
      <c r="H24" s="88">
        <f>IF(ISTEXT(Computations!N24),"",Computations!D24)</f>
      </c>
      <c r="I24" s="90">
        <f>IF(Computations!$O24=1,Computations!N24,"")</f>
      </c>
      <c r="J24" s="90">
        <f>IF(ISTEXT($I24),"",$I24+Computations!$E24)</f>
      </c>
      <c r="K24" s="90">
        <f t="shared" si="0"/>
        <v>0.001388888888888884</v>
      </c>
      <c r="L24" s="90">
        <f>IF(F24="renege","",Computations!K24)</f>
      </c>
      <c r="M24" s="90">
        <f>IF(ISTEXT($L24),"",Computations!$E24+L24)</f>
      </c>
    </row>
    <row r="25" spans="1:13" ht="12.75">
      <c r="A25" s="88">
        <f>Computations!A25</f>
        <v>14</v>
      </c>
      <c r="B25" s="89">
        <f>IF(ISTEXT(C25),"",Computations!B25)</f>
        <v>1</v>
      </c>
      <c r="C25" s="90">
        <f>IF(Computations!F25="closed",Computations!F24+Computations!C25,Computations!F25)</f>
        <v>0.38611111111111107</v>
      </c>
      <c r="D25" s="89">
        <f>IF(ISTEXT(A25),"",Computations!G25)</f>
        <v>1</v>
      </c>
      <c r="E25" s="88" t="str">
        <f>Computations!H25</f>
        <v>balk</v>
      </c>
      <c r="F25" s="88">
        <f>Computations!L25</f>
      </c>
      <c r="G25" s="90">
        <f>Computations!M25</f>
      </c>
      <c r="H25" s="88">
        <f>IF(ISTEXT(Computations!N25),"",Computations!D25)</f>
      </c>
      <c r="I25" s="90">
        <f>IF(Computations!$O25=1,Computations!N25,"")</f>
      </c>
      <c r="J25" s="90">
        <f>IF(ISTEXT($I25),"",$I25+Computations!$E25)</f>
      </c>
      <c r="K25" s="90">
        <f t="shared" si="0"/>
      </c>
      <c r="L25" s="90">
        <f>IF(F25="renege","",Computations!K25)</f>
      </c>
      <c r="M25" s="90">
        <f>IF(ISTEXT($L25),"",Computations!$E25+L25)</f>
      </c>
    </row>
    <row r="26" spans="1:13" ht="12.75">
      <c r="A26" s="88">
        <f>Computations!A26</f>
        <v>15</v>
      </c>
      <c r="B26" s="89">
        <f>IF(ISTEXT(C26),"",Computations!B26)</f>
        <v>1</v>
      </c>
      <c r="C26" s="90">
        <f>IF(Computations!F26="closed",Computations!F25+Computations!C26,Computations!F26)</f>
        <v>0.3868055555555555</v>
      </c>
      <c r="D26" s="89">
        <f>IF(ISTEXT(A26),"",Computations!G26)</f>
        <v>0</v>
      </c>
      <c r="E26" s="88">
        <f>Computations!H26</f>
      </c>
      <c r="F26" s="88">
        <f>Computations!L26</f>
      </c>
      <c r="G26" s="90">
        <f>Computations!M26</f>
      </c>
      <c r="H26" s="88">
        <f>IF(ISTEXT(Computations!N26),"",Computations!D26)</f>
        <v>6</v>
      </c>
      <c r="I26" s="90">
        <f>IF(Computations!$O26=1,Computations!N26,"")</f>
        <v>0.38749999999999996</v>
      </c>
      <c r="J26" s="90">
        <f>IF(ISTEXT($I26),"",$I26+Computations!$E26)</f>
        <v>0.3916666666666666</v>
      </c>
      <c r="K26" s="90">
        <f t="shared" si="0"/>
      </c>
      <c r="L26" s="90">
        <f>IF(F26="renege","",Computations!K26)</f>
        <v>0.000694444444444442</v>
      </c>
      <c r="M26" s="90">
        <f>IF(ISTEXT($L26),"",Computations!$E26+L26)</f>
        <v>0.004861111111111109</v>
      </c>
    </row>
    <row r="27" spans="5:9" ht="12.75">
      <c r="E27" s="65"/>
      <c r="F27" s="65"/>
      <c r="G27" s="85"/>
      <c r="I27" s="85"/>
    </row>
    <row r="28" spans="11:19" ht="12.75">
      <c r="K28" s="85"/>
      <c r="S28" s="12"/>
    </row>
    <row r="29" spans="9:21" ht="12.75">
      <c r="I29" s="86"/>
      <c r="U29" s="78"/>
    </row>
    <row r="31" ht="12.75">
      <c r="S31" s="12"/>
    </row>
    <row r="32" spans="8:19" ht="12.75">
      <c r="H32" s="87"/>
      <c r="S32" s="12"/>
    </row>
    <row r="33" ht="12.75">
      <c r="S33" s="12"/>
    </row>
    <row r="34" ht="12.75">
      <c r="S34" s="12"/>
    </row>
    <row r="35" ht="12.75">
      <c r="S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1"/>
  <sheetViews>
    <sheetView zoomScale="75" zoomScaleNormal="75" workbookViewId="0" topLeftCell="A6">
      <selection activeCell="S12" sqref="S12:S41"/>
    </sheetView>
  </sheetViews>
  <sheetFormatPr defaultColWidth="9.140625" defaultRowHeight="12.75"/>
  <cols>
    <col min="1" max="1" width="6.57421875" style="11" customWidth="1"/>
    <col min="2" max="2" width="10.8515625" style="66" customWidth="1"/>
    <col min="3" max="3" width="10.57421875" style="52" customWidth="1"/>
    <col min="4" max="4" width="11.421875" style="68" customWidth="1"/>
    <col min="5" max="5" width="8.00390625" style="52" customWidth="1"/>
    <col min="6" max="6" width="8.8515625" style="52" customWidth="1"/>
    <col min="7" max="7" width="10.57421875" style="51" customWidth="1"/>
    <col min="8" max="8" width="7.140625" style="51" customWidth="1"/>
    <col min="9" max="11" width="10.57421875" style="51" customWidth="1"/>
    <col min="12" max="12" width="10.00390625" style="21" customWidth="1"/>
    <col min="13" max="13" width="9.140625" style="53" customWidth="1"/>
    <col min="14" max="14" width="11.7109375" style="53" customWidth="1"/>
    <col min="15" max="15" width="8.00390625" style="51" customWidth="1"/>
    <col min="16" max="19" width="9.140625" style="13" customWidth="1"/>
    <col min="20" max="16384" width="9.140625" style="52" customWidth="1"/>
  </cols>
  <sheetData>
    <row r="1" spans="1:5" ht="12.75">
      <c r="A1" s="13"/>
      <c r="B1" s="48"/>
      <c r="C1" s="49" t="s">
        <v>35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14" ht="12.75">
      <c r="A3" s="13"/>
      <c r="B3" s="48"/>
      <c r="D3" s="50"/>
      <c r="E3" s="53"/>
      <c r="N3" s="54"/>
    </row>
    <row r="4" spans="1:5" ht="12.75">
      <c r="A4" s="13"/>
      <c r="B4" s="48"/>
      <c r="D4" s="50"/>
      <c r="E4" s="53"/>
    </row>
    <row r="5" spans="2:14" ht="12.75">
      <c r="B5" s="55"/>
      <c r="D5" s="50"/>
      <c r="E5" s="53"/>
      <c r="N5" s="54"/>
    </row>
    <row r="6" spans="1:15" s="57" customFormat="1" ht="12.75">
      <c r="A6" s="14"/>
      <c r="B6" s="56" t="s">
        <v>36</v>
      </c>
      <c r="D6" s="56" t="s">
        <v>11</v>
      </c>
      <c r="G6" s="58" t="s">
        <v>16</v>
      </c>
      <c r="H6" s="58"/>
      <c r="I6" s="58" t="s">
        <v>37</v>
      </c>
      <c r="J6" s="58"/>
      <c r="K6" s="58" t="s">
        <v>37</v>
      </c>
      <c r="L6" s="58"/>
      <c r="M6" s="54"/>
      <c r="N6" s="54"/>
      <c r="O6" s="58"/>
    </row>
    <row r="7" spans="1:17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38</v>
      </c>
      <c r="F7" s="58" t="s">
        <v>18</v>
      </c>
      <c r="G7" s="59" t="s">
        <v>19</v>
      </c>
      <c r="H7" s="58"/>
      <c r="I7" s="58" t="s">
        <v>39</v>
      </c>
      <c r="J7" s="54" t="s">
        <v>40</v>
      </c>
      <c r="K7" s="58" t="s">
        <v>22</v>
      </c>
      <c r="L7" s="58"/>
      <c r="M7" s="60" t="s">
        <v>20</v>
      </c>
      <c r="N7" s="58" t="s">
        <v>41</v>
      </c>
      <c r="O7" s="58" t="s">
        <v>42</v>
      </c>
      <c r="P7" s="58" t="s">
        <v>11</v>
      </c>
      <c r="Q7" s="57" t="s">
        <v>98</v>
      </c>
    </row>
    <row r="8" spans="1:17" s="57" customFormat="1" ht="12.75">
      <c r="A8" s="59" t="s">
        <v>24</v>
      </c>
      <c r="B8" s="56" t="s">
        <v>43</v>
      </c>
      <c r="C8" s="58" t="s">
        <v>44</v>
      </c>
      <c r="D8" s="56" t="s">
        <v>43</v>
      </c>
      <c r="E8" s="58" t="s">
        <v>14</v>
      </c>
      <c r="F8" s="58" t="s">
        <v>14</v>
      </c>
      <c r="G8" s="59" t="s">
        <v>25</v>
      </c>
      <c r="H8" s="58" t="s">
        <v>26</v>
      </c>
      <c r="I8" s="58" t="s">
        <v>14</v>
      </c>
      <c r="J8" s="54" t="s">
        <v>1</v>
      </c>
      <c r="K8" s="58" t="s">
        <v>14</v>
      </c>
      <c r="L8" s="58" t="s">
        <v>27</v>
      </c>
      <c r="M8" s="60" t="s">
        <v>28</v>
      </c>
      <c r="N8" s="58" t="s">
        <v>1</v>
      </c>
      <c r="O8" s="58" t="s">
        <v>45</v>
      </c>
      <c r="P8" s="58" t="s">
        <v>14</v>
      </c>
      <c r="Q8" s="57" t="s">
        <v>31</v>
      </c>
    </row>
    <row r="9" spans="1:19" s="57" customFormat="1" ht="13.5" thickBot="1">
      <c r="A9" s="61"/>
      <c r="B9" s="62" t="s">
        <v>15</v>
      </c>
      <c r="C9" s="63" t="s">
        <v>46</v>
      </c>
      <c r="D9" s="62" t="s">
        <v>15</v>
      </c>
      <c r="E9" s="63" t="s">
        <v>46</v>
      </c>
      <c r="F9" s="63" t="s">
        <v>32</v>
      </c>
      <c r="G9" s="61" t="s">
        <v>33</v>
      </c>
      <c r="H9" s="63"/>
      <c r="I9" s="63" t="s">
        <v>32</v>
      </c>
      <c r="J9" s="63" t="s">
        <v>32</v>
      </c>
      <c r="K9" s="63" t="s">
        <v>32</v>
      </c>
      <c r="L9" s="63"/>
      <c r="M9" s="64" t="s">
        <v>32</v>
      </c>
      <c r="N9" s="63" t="s">
        <v>32</v>
      </c>
      <c r="O9" s="63"/>
      <c r="P9" s="58" t="s">
        <v>97</v>
      </c>
      <c r="S9" s="99" t="s">
        <v>99</v>
      </c>
    </row>
    <row r="10" spans="1:16" ht="12.75">
      <c r="A10" s="65"/>
      <c r="C10" s="51"/>
      <c r="D10" s="67"/>
      <c r="E10" s="51"/>
      <c r="F10" s="51"/>
      <c r="P10" s="21"/>
    </row>
    <row r="11" spans="1:19" ht="12.75">
      <c r="A11" s="65" t="s">
        <v>34</v>
      </c>
      <c r="C11" s="51"/>
      <c r="D11" s="67"/>
      <c r="E11" s="51"/>
      <c r="F11" s="91">
        <f>start_time</f>
        <v>0.375</v>
      </c>
      <c r="I11" s="53"/>
      <c r="J11" s="53"/>
      <c r="P11" s="21"/>
      <c r="S11" s="13" t="s">
        <v>100</v>
      </c>
    </row>
    <row r="12" spans="1:19" ht="12.75">
      <c r="A12" s="88">
        <f>IF(ISTEXT(F12),"closed",1)</f>
        <v>1</v>
      </c>
      <c r="B12" s="67">
        <f ca="1">VLOOKUP(RAND(),arrival,3)</f>
        <v>2</v>
      </c>
      <c r="C12" s="91">
        <f>B12/1440</f>
        <v>0.001388888888888889</v>
      </c>
      <c r="D12" s="67">
        <f ca="1">VLOOKUP(RAND(),service,3)</f>
        <v>2</v>
      </c>
      <c r="E12" s="91">
        <f>D12/1440</f>
        <v>0.001388888888888889</v>
      </c>
      <c r="F12" s="91">
        <f>IF(ISTEXT(F11),"",IF(F11+C12&gt;=close_time,"closed",F11+C12))</f>
        <v>0.3763888888888889</v>
      </c>
      <c r="G12" s="96">
        <f>COUNTIF(N$11:$N11,"&gt;"&amp;F12)+COUNTIF(M$11:M11,"&gt;"&amp;F12)</f>
        <v>0</v>
      </c>
      <c r="H12" s="93">
        <f>IF(G12&gt;=balk_num,"balk","")</f>
      </c>
      <c r="I12" s="91">
        <f>IF(OR(H12="balk",ISTEXT(F12)),"",MAX(Simulation!J$11:J11,start_time,$F12))</f>
        <v>0.3763888888888889</v>
      </c>
      <c r="J12" s="91">
        <f aca="true" t="shared" si="0" ref="J12:J26">IF(ISTEXT(I12),"",MIN(I12:I12))</f>
        <v>0.3763888888888889</v>
      </c>
      <c r="K12" s="91">
        <f aca="true" t="shared" si="1" ref="K12:K26">IF(ISTEXT(I12),"",J12-F12)</f>
        <v>0</v>
      </c>
      <c r="L12" s="94">
        <f aca="true" t="shared" si="2" ref="L12:L26">IF(ISTEXT(I12),"",IF(K12&gt;renege_time,"renege",""))</f>
      </c>
      <c r="M12" s="91">
        <f aca="true" t="shared" si="3" ref="M12:M26">IF(L12="renege",F12+renege_time,"")</f>
      </c>
      <c r="N12" s="91">
        <f aca="true" t="shared" si="4" ref="N12:N26">IF(OR(L12="renege",ISTEXT(I12)),"",J12)</f>
        <v>0.3763888888888889</v>
      </c>
      <c r="O12" s="93">
        <f aca="true" t="shared" si="5" ref="O12:O26">IF(ISTEXT(N12),"",MATCH(N12,I12:I12,0))</f>
        <v>1</v>
      </c>
      <c r="P12" s="98">
        <f>IF(OR(H12="balk",L12="renege"),"",E12)</f>
        <v>0.001388888888888889</v>
      </c>
      <c r="Q12" s="77">
        <f>IF(Simulation!F12="renege",Simulation!K12,Simulation!L12)</f>
        <v>0</v>
      </c>
      <c r="S12" s="77">
        <f>IF(ISNUMBER(SMALL(Simulation!$I$12:Simulation!$J$26,1)),SMALL(Simulation!$I$12:Simulation!$J$26,1),1)</f>
        <v>0.3763888888888889</v>
      </c>
    </row>
    <row r="13" spans="1:19" ht="12.75">
      <c r="A13" s="88">
        <f>IF(ISTEXT(F13),"closed",A12+1)</f>
        <v>2</v>
      </c>
      <c r="B13" s="67">
        <f aca="true" ca="1" t="shared" si="6" ref="B13:B26">VLOOKUP(RAND(),arrival,3)</f>
        <v>1</v>
      </c>
      <c r="C13" s="91">
        <f aca="true" t="shared" si="7" ref="C13:C26">B13/1440</f>
        <v>0.0006944444444444445</v>
      </c>
      <c r="D13" s="67">
        <f aca="true" ca="1" t="shared" si="8" ref="D13:D26">VLOOKUP(RAND(),service,3)</f>
        <v>4</v>
      </c>
      <c r="E13" s="91">
        <f aca="true" t="shared" si="9" ref="E13:E26">D13/1440</f>
        <v>0.002777777777777778</v>
      </c>
      <c r="F13" s="91">
        <f aca="true" t="shared" si="10" ref="F13:F26">IF(ISTEXT(F12),"",IF(F12+C13&gt;=close_time,"closed",F12+C13))</f>
        <v>0.3770833333333333</v>
      </c>
      <c r="G13" s="96">
        <f>COUNTIF(N$11:$N12,"&gt;"&amp;F13)+COUNTIF(M$11:M12,"&gt;"&amp;F13)</f>
        <v>0</v>
      </c>
      <c r="H13" s="93">
        <f aca="true" t="shared" si="11" ref="H13:H26">IF(G13&gt;=balk_num,"balk","")</f>
      </c>
      <c r="I13" s="91">
        <f>IF(OR(H13="balk",ISTEXT(F13)),"",MAX(Simulation!J$11:J12,start_time,$F13))</f>
        <v>0.37777777777777777</v>
      </c>
      <c r="J13" s="91">
        <f t="shared" si="0"/>
        <v>0.37777777777777777</v>
      </c>
      <c r="K13" s="91">
        <f t="shared" si="1"/>
        <v>0.000694444444444442</v>
      </c>
      <c r="L13" s="94">
        <f t="shared" si="2"/>
      </c>
      <c r="M13" s="91">
        <f t="shared" si="3"/>
      </c>
      <c r="N13" s="91">
        <f t="shared" si="4"/>
        <v>0.37777777777777777</v>
      </c>
      <c r="O13" s="93">
        <f t="shared" si="5"/>
        <v>1</v>
      </c>
      <c r="P13" s="98">
        <f>IF(OR(H13="balk",L13="renege"),"",E13)</f>
        <v>0.002777777777777778</v>
      </c>
      <c r="Q13" s="77">
        <f>IF(Simulation!F13="renege",Simulation!K13,Simulation!L13)</f>
        <v>0.000694444444444442</v>
      </c>
      <c r="S13" s="77">
        <f>IF(ISNUMBER(SMALL(Simulation!$I$12:Simulation!$J$26,2)),SMALL(Simulation!$I$12:Simulation!$J$26,2),1)</f>
        <v>0.37777777777777777</v>
      </c>
    </row>
    <row r="14" spans="1:19" ht="12.75">
      <c r="A14" s="88">
        <f aca="true" t="shared" si="12" ref="A14:A26">IF(ISTEXT(F14),"closed",A13+1)</f>
        <v>3</v>
      </c>
      <c r="B14" s="67">
        <f ca="1" t="shared" si="6"/>
        <v>1</v>
      </c>
      <c r="C14" s="91">
        <f t="shared" si="7"/>
        <v>0.0006944444444444445</v>
      </c>
      <c r="D14" s="67">
        <f ca="1" t="shared" si="8"/>
        <v>6</v>
      </c>
      <c r="E14" s="91">
        <f t="shared" si="9"/>
        <v>0.004166666666666667</v>
      </c>
      <c r="F14" s="91">
        <f t="shared" si="10"/>
        <v>0.37777777777777777</v>
      </c>
      <c r="G14" s="96">
        <f>COUNTIF(N$11:$N13,"&gt;"&amp;F14)+COUNTIF(M$11:M13,"&gt;"&amp;F14)</f>
        <v>0</v>
      </c>
      <c r="H14" s="93">
        <f t="shared" si="11"/>
      </c>
      <c r="I14" s="91">
        <f>IF(OR(H14="balk",ISTEXT(F14)),"",MAX(Simulation!J$11:J13,start_time,$F14))</f>
        <v>0.38055555555555554</v>
      </c>
      <c r="J14" s="91">
        <f t="shared" si="0"/>
        <v>0.38055555555555554</v>
      </c>
      <c r="K14" s="91">
        <f t="shared" si="1"/>
        <v>0.002777777777777768</v>
      </c>
      <c r="L14" s="94" t="str">
        <f t="shared" si="2"/>
        <v>renege</v>
      </c>
      <c r="M14" s="91">
        <f t="shared" si="3"/>
        <v>0.37916666666666665</v>
      </c>
      <c r="N14" s="91">
        <f t="shared" si="4"/>
      </c>
      <c r="O14" s="93">
        <f t="shared" si="5"/>
      </c>
      <c r="P14" s="98">
        <f>IF(OR(H14="balk",L14="renege"),"",E14)</f>
      </c>
      <c r="Q14" s="77">
        <f>IF(Simulation!F14="renege",Simulation!K14,Simulation!L14)</f>
        <v>0.001388888888888884</v>
      </c>
      <c r="S14" s="77">
        <f>IF(ISNUMBER(SMALL(Simulation!$I$12:Simulation!$J$26,3)),SMALL(Simulation!$I$12:Simulation!$J$26,3),1)</f>
        <v>0.37777777777777777</v>
      </c>
    </row>
    <row r="15" spans="1:19" ht="12.75">
      <c r="A15" s="88">
        <f t="shared" si="12"/>
        <v>4</v>
      </c>
      <c r="B15" s="67">
        <f ca="1" t="shared" si="6"/>
        <v>1</v>
      </c>
      <c r="C15" s="91">
        <f t="shared" si="7"/>
        <v>0.0006944444444444445</v>
      </c>
      <c r="D15" s="67">
        <f ca="1" t="shared" si="8"/>
        <v>4</v>
      </c>
      <c r="E15" s="91">
        <f t="shared" si="9"/>
        <v>0.002777777777777778</v>
      </c>
      <c r="F15" s="91">
        <f t="shared" si="10"/>
        <v>0.3784722222222222</v>
      </c>
      <c r="G15" s="96">
        <f>COUNTIF(N$11:$N14,"&gt;"&amp;F15)+COUNTIF(M$11:M14,"&gt;"&amp;F15)</f>
        <v>1</v>
      </c>
      <c r="H15" s="93" t="str">
        <f t="shared" si="11"/>
        <v>balk</v>
      </c>
      <c r="I15" s="91">
        <f>IF(OR(H15="balk",ISTEXT(F15)),"",MAX(Simulation!J$11:J14,start_time,$F15))</f>
      </c>
      <c r="J15" s="91">
        <f t="shared" si="0"/>
      </c>
      <c r="K15" s="91">
        <f t="shared" si="1"/>
      </c>
      <c r="L15" s="94">
        <f t="shared" si="2"/>
      </c>
      <c r="M15" s="91">
        <f t="shared" si="3"/>
      </c>
      <c r="N15" s="91">
        <f t="shared" si="4"/>
      </c>
      <c r="O15" s="93">
        <f t="shared" si="5"/>
      </c>
      <c r="P15" s="98">
        <f>IF(OR(H15="balk",L15="renege"),"",E15)</f>
      </c>
      <c r="Q15" s="77">
        <f>IF(Simulation!F15="renege",Simulation!K15,Simulation!L15)</f>
      </c>
      <c r="S15" s="77">
        <f>IF(ISNUMBER(SMALL(Simulation!$I$12:Simulation!$J$26,4)),SMALL(Simulation!$I$12:Simulation!$J$26,4),1)</f>
        <v>0.38055555555555554</v>
      </c>
    </row>
    <row r="16" spans="1:19" ht="12.75">
      <c r="A16" s="88">
        <f t="shared" si="12"/>
        <v>5</v>
      </c>
      <c r="B16" s="67">
        <f ca="1" t="shared" si="6"/>
        <v>1</v>
      </c>
      <c r="C16" s="91">
        <f t="shared" si="7"/>
        <v>0.0006944444444444445</v>
      </c>
      <c r="D16" s="67">
        <f ca="1" t="shared" si="8"/>
        <v>4</v>
      </c>
      <c r="E16" s="91">
        <f t="shared" si="9"/>
        <v>0.002777777777777778</v>
      </c>
      <c r="F16" s="91">
        <f t="shared" si="10"/>
        <v>0.37916666666666665</v>
      </c>
      <c r="G16" s="96">
        <f>COUNTIF(N$11:$N15,"&gt;"&amp;F16)+COUNTIF(M$11:M15,"&gt;"&amp;F16)</f>
        <v>0</v>
      </c>
      <c r="H16" s="93">
        <f t="shared" si="11"/>
      </c>
      <c r="I16" s="91">
        <f>IF(OR(H16="balk",ISTEXT(F16)),"",MAX(Simulation!J$11:J15,start_time,$F16))</f>
        <v>0.38055555555555554</v>
      </c>
      <c r="J16" s="91">
        <f t="shared" si="0"/>
        <v>0.38055555555555554</v>
      </c>
      <c r="K16" s="91">
        <f t="shared" si="1"/>
        <v>0.001388888888888884</v>
      </c>
      <c r="L16" s="94">
        <f t="shared" si="2"/>
      </c>
      <c r="M16" s="91">
        <f t="shared" si="3"/>
      </c>
      <c r="N16" s="91">
        <f t="shared" si="4"/>
        <v>0.38055555555555554</v>
      </c>
      <c r="O16" s="93">
        <f t="shared" si="5"/>
        <v>1</v>
      </c>
      <c r="P16" s="98">
        <f>IF(OR(H16="balk",L16="renege"),"",E16)</f>
        <v>0.002777777777777778</v>
      </c>
      <c r="Q16" s="77">
        <f>IF(Simulation!F16="renege",Simulation!K16,Simulation!L16)</f>
        <v>0.001388888888888884</v>
      </c>
      <c r="S16" s="77">
        <f>IF(ISNUMBER(SMALL(Simulation!$I$12:Simulation!$J$26,5)),SMALL(Simulation!$I$12:Simulation!$J$26,5),1)</f>
        <v>0.38055555555555554</v>
      </c>
    </row>
    <row r="17" spans="1:19" ht="12.75">
      <c r="A17" s="88">
        <f t="shared" si="12"/>
        <v>6</v>
      </c>
      <c r="B17" s="67">
        <f ca="1" t="shared" si="6"/>
        <v>1</v>
      </c>
      <c r="C17" s="91">
        <f t="shared" si="7"/>
        <v>0.0006944444444444445</v>
      </c>
      <c r="D17" s="67">
        <f ca="1" t="shared" si="8"/>
        <v>6</v>
      </c>
      <c r="E17" s="91">
        <f t="shared" si="9"/>
        <v>0.004166666666666667</v>
      </c>
      <c r="F17" s="91">
        <f t="shared" si="10"/>
        <v>0.3798611111111111</v>
      </c>
      <c r="G17" s="96">
        <f>COUNTIF(N$11:$N16,"&gt;"&amp;F17)+COUNTIF(M$11:M16,"&gt;"&amp;F17)</f>
        <v>1</v>
      </c>
      <c r="H17" s="93" t="str">
        <f t="shared" si="11"/>
        <v>balk</v>
      </c>
      <c r="I17" s="91">
        <f>IF(OR(H17="balk",ISTEXT(F17)),"",MAX(Simulation!J$11:J16,start_time,$F17))</f>
      </c>
      <c r="J17" s="91">
        <f t="shared" si="0"/>
      </c>
      <c r="K17" s="91">
        <f t="shared" si="1"/>
      </c>
      <c r="L17" s="94">
        <f t="shared" si="2"/>
      </c>
      <c r="M17" s="91">
        <f t="shared" si="3"/>
      </c>
      <c r="N17" s="91">
        <f t="shared" si="4"/>
      </c>
      <c r="O17" s="93">
        <f t="shared" si="5"/>
      </c>
      <c r="P17" s="98">
        <f>IF(OR(H17="balk",L17="renege"),"",E17)</f>
      </c>
      <c r="Q17" s="77">
        <f>IF(Simulation!F17="renege",Simulation!K17,Simulation!L17)</f>
      </c>
      <c r="S17" s="77">
        <f>IF(ISNUMBER(SMALL(Simulation!$I$12:Simulation!$J$26,6)),SMALL(Simulation!$I$12:Simulation!$J$26,6),1)</f>
        <v>0.3833333333333333</v>
      </c>
    </row>
    <row r="18" spans="1:19" ht="12.75">
      <c r="A18" s="88">
        <f t="shared" si="12"/>
        <v>7</v>
      </c>
      <c r="B18" s="67">
        <f ca="1" t="shared" si="6"/>
        <v>1</v>
      </c>
      <c r="C18" s="91">
        <f t="shared" si="7"/>
        <v>0.0006944444444444445</v>
      </c>
      <c r="D18" s="67">
        <f ca="1" t="shared" si="8"/>
        <v>4</v>
      </c>
      <c r="E18" s="91">
        <f t="shared" si="9"/>
        <v>0.002777777777777778</v>
      </c>
      <c r="F18" s="91">
        <f t="shared" si="10"/>
        <v>0.38055555555555554</v>
      </c>
      <c r="G18" s="96">
        <f>COUNTIF(N$11:$N17,"&gt;"&amp;F18)+COUNTIF(M$11:M17,"&gt;"&amp;F18)</f>
        <v>0</v>
      </c>
      <c r="H18" s="93">
        <f t="shared" si="11"/>
      </c>
      <c r="I18" s="91">
        <f>IF(OR(H18="balk",ISTEXT(F18)),"",MAX(Simulation!J$11:J17,start_time,$F18))</f>
        <v>0.3833333333333333</v>
      </c>
      <c r="J18" s="91">
        <f t="shared" si="0"/>
        <v>0.3833333333333333</v>
      </c>
      <c r="K18" s="91">
        <f t="shared" si="1"/>
        <v>0.002777777777777768</v>
      </c>
      <c r="L18" s="94" t="str">
        <f t="shared" si="2"/>
        <v>renege</v>
      </c>
      <c r="M18" s="91">
        <f t="shared" si="3"/>
        <v>0.3819444444444444</v>
      </c>
      <c r="N18" s="91">
        <f t="shared" si="4"/>
      </c>
      <c r="O18" s="93">
        <f t="shared" si="5"/>
      </c>
      <c r="P18" s="98">
        <f>IF(OR(H18="balk",L18="renege"),"",E18)</f>
      </c>
      <c r="Q18" s="77">
        <f>IF(Simulation!F18="renege",Simulation!K18,Simulation!L18)</f>
        <v>0.001388888888888884</v>
      </c>
      <c r="S18" s="77">
        <f>IF(ISNUMBER(SMALL(Simulation!$I$12:Simulation!$J$26,7)),SMALL(Simulation!$I$12:Simulation!$J$26,7),1)</f>
        <v>0.3833333333333333</v>
      </c>
    </row>
    <row r="19" spans="1:19" ht="12.75">
      <c r="A19" s="88">
        <f t="shared" si="12"/>
        <v>8</v>
      </c>
      <c r="B19" s="67">
        <f ca="1" t="shared" si="6"/>
        <v>1</v>
      </c>
      <c r="C19" s="91">
        <f t="shared" si="7"/>
        <v>0.0006944444444444445</v>
      </c>
      <c r="D19" s="67">
        <f ca="1" t="shared" si="8"/>
        <v>2</v>
      </c>
      <c r="E19" s="91">
        <f t="shared" si="9"/>
        <v>0.001388888888888889</v>
      </c>
      <c r="F19" s="91">
        <f t="shared" si="10"/>
        <v>0.38125</v>
      </c>
      <c r="G19" s="96">
        <f>COUNTIF(N$11:$N18,"&gt;"&amp;F19)+COUNTIF(M$11:M18,"&gt;"&amp;F19)</f>
        <v>1</v>
      </c>
      <c r="H19" s="93" t="str">
        <f t="shared" si="11"/>
        <v>balk</v>
      </c>
      <c r="I19" s="91">
        <f>IF(OR(H19="balk",ISTEXT(F19)),"",MAX(Simulation!J$11:J18,start_time,$F19))</f>
      </c>
      <c r="J19" s="91">
        <f t="shared" si="0"/>
      </c>
      <c r="K19" s="91">
        <f t="shared" si="1"/>
      </c>
      <c r="L19" s="94">
        <f t="shared" si="2"/>
      </c>
      <c r="M19" s="91">
        <f t="shared" si="3"/>
      </c>
      <c r="N19" s="91">
        <f t="shared" si="4"/>
      </c>
      <c r="O19" s="93">
        <f t="shared" si="5"/>
      </c>
      <c r="P19" s="98">
        <f>IF(OR(H19="balk",L19="renege"),"",E19)</f>
      </c>
      <c r="Q19" s="77">
        <f>IF(Simulation!F19="renege",Simulation!K19,Simulation!L19)</f>
      </c>
      <c r="S19" s="77">
        <f>IF(ISNUMBER(SMALL(Simulation!$I$12:Simulation!$J$26,8)),SMALL(Simulation!$I$12:Simulation!$J$26,8),1)</f>
        <v>0.38749999999999996</v>
      </c>
    </row>
    <row r="20" spans="1:19" ht="12.75">
      <c r="A20" s="88">
        <f t="shared" si="12"/>
        <v>9</v>
      </c>
      <c r="B20" s="67">
        <f ca="1" t="shared" si="6"/>
        <v>1</v>
      </c>
      <c r="C20" s="91">
        <f t="shared" si="7"/>
        <v>0.0006944444444444445</v>
      </c>
      <c r="D20" s="67">
        <f ca="1" t="shared" si="8"/>
        <v>6</v>
      </c>
      <c r="E20" s="91">
        <f t="shared" si="9"/>
        <v>0.004166666666666667</v>
      </c>
      <c r="F20" s="91">
        <f t="shared" si="10"/>
        <v>0.3819444444444444</v>
      </c>
      <c r="G20" s="96">
        <f>COUNTIF(N$11:$N19,"&gt;"&amp;F20)+COUNTIF(M$11:M19,"&gt;"&amp;F20)</f>
        <v>0</v>
      </c>
      <c r="H20" s="93">
        <f t="shared" si="11"/>
      </c>
      <c r="I20" s="91">
        <f>IF(OR(H20="balk",ISTEXT(F20)),"",MAX(Simulation!J$11:J19,start_time,$F20))</f>
        <v>0.3833333333333333</v>
      </c>
      <c r="J20" s="91">
        <f t="shared" si="0"/>
        <v>0.3833333333333333</v>
      </c>
      <c r="K20" s="91">
        <f t="shared" si="1"/>
        <v>0.001388888888888884</v>
      </c>
      <c r="L20" s="94">
        <f t="shared" si="2"/>
      </c>
      <c r="M20" s="91">
        <f t="shared" si="3"/>
      </c>
      <c r="N20" s="91">
        <f t="shared" si="4"/>
        <v>0.3833333333333333</v>
      </c>
      <c r="O20" s="93">
        <f t="shared" si="5"/>
        <v>1</v>
      </c>
      <c r="P20" s="98">
        <f>IF(OR(H20="balk",L20="renege"),"",E20)</f>
        <v>0.004166666666666667</v>
      </c>
      <c r="Q20" s="77">
        <f>IF(Simulation!F20="renege",Simulation!K20,Simulation!L20)</f>
        <v>0.001388888888888884</v>
      </c>
      <c r="S20" s="77">
        <f>IF(ISNUMBER(SMALL(Simulation!$I$12:Simulation!$J$26,9)),SMALL(Simulation!$I$12:Simulation!$J$26,9),1)</f>
        <v>0.38749999999999996</v>
      </c>
    </row>
    <row r="21" spans="1:19" ht="12.75">
      <c r="A21" s="88">
        <f t="shared" si="12"/>
        <v>10</v>
      </c>
      <c r="B21" s="67">
        <f ca="1" t="shared" si="6"/>
        <v>1</v>
      </c>
      <c r="C21" s="91">
        <f t="shared" si="7"/>
        <v>0.0006944444444444445</v>
      </c>
      <c r="D21" s="67">
        <f ca="1" t="shared" si="8"/>
        <v>2</v>
      </c>
      <c r="E21" s="91">
        <f t="shared" si="9"/>
        <v>0.001388888888888889</v>
      </c>
      <c r="F21" s="91">
        <f t="shared" si="10"/>
        <v>0.38263888888888886</v>
      </c>
      <c r="G21" s="96">
        <f>COUNTIF(N$11:$N20,"&gt;"&amp;F21)+COUNTIF(M$11:M20,"&gt;"&amp;F21)</f>
        <v>1</v>
      </c>
      <c r="H21" s="93" t="str">
        <f t="shared" si="11"/>
        <v>balk</v>
      </c>
      <c r="I21" s="91">
        <f>IF(OR(H21="balk",ISTEXT(F21)),"",MAX(Simulation!J$11:J20,start_time,$F21))</f>
      </c>
      <c r="J21" s="91">
        <f t="shared" si="0"/>
      </c>
      <c r="K21" s="91">
        <f t="shared" si="1"/>
      </c>
      <c r="L21" s="94">
        <f t="shared" si="2"/>
      </c>
      <c r="M21" s="91">
        <f t="shared" si="3"/>
      </c>
      <c r="N21" s="91">
        <f t="shared" si="4"/>
      </c>
      <c r="O21" s="93">
        <f t="shared" si="5"/>
      </c>
      <c r="P21" s="98">
        <f>IF(OR(H21="balk",L21="renege"),"",E21)</f>
      </c>
      <c r="Q21" s="77">
        <f>IF(Simulation!F21="renege",Simulation!K21,Simulation!L21)</f>
      </c>
      <c r="S21" s="77">
        <f>IF(ISNUMBER(SMALL(Simulation!$I$12:Simulation!$J$26,10)),SMALL(Simulation!$I$12:Simulation!$J$26,10),1)</f>
        <v>0.3916666666666666</v>
      </c>
    </row>
    <row r="22" spans="1:19" ht="12.75">
      <c r="A22" s="88">
        <f t="shared" si="12"/>
        <v>11</v>
      </c>
      <c r="B22" s="67">
        <f ca="1" t="shared" si="6"/>
        <v>2</v>
      </c>
      <c r="C22" s="91">
        <f t="shared" si="7"/>
        <v>0.001388888888888889</v>
      </c>
      <c r="D22" s="67">
        <f ca="1" t="shared" si="8"/>
        <v>2</v>
      </c>
      <c r="E22" s="91">
        <f t="shared" si="9"/>
        <v>0.001388888888888889</v>
      </c>
      <c r="F22" s="91">
        <f t="shared" si="10"/>
        <v>0.38402777777777775</v>
      </c>
      <c r="G22" s="96">
        <f>COUNTIF(N$11:$N21,"&gt;"&amp;F22)+COUNTIF(M$11:M21,"&gt;"&amp;F22)</f>
        <v>0</v>
      </c>
      <c r="H22" s="93">
        <f t="shared" si="11"/>
      </c>
      <c r="I22" s="91">
        <f>IF(OR(H22="balk",ISTEXT(F22)),"",MAX(Simulation!J$11:J21,start_time,$F22))</f>
        <v>0.38749999999999996</v>
      </c>
      <c r="J22" s="91">
        <f t="shared" si="0"/>
        <v>0.38749999999999996</v>
      </c>
      <c r="K22" s="91">
        <f t="shared" si="1"/>
        <v>0.00347222222222221</v>
      </c>
      <c r="L22" s="94" t="str">
        <f t="shared" si="2"/>
        <v>renege</v>
      </c>
      <c r="M22" s="91">
        <f t="shared" si="3"/>
        <v>0.38541666666666663</v>
      </c>
      <c r="N22" s="91">
        <f t="shared" si="4"/>
      </c>
      <c r="O22" s="93">
        <f t="shared" si="5"/>
      </c>
      <c r="P22" s="98">
        <f>IF(OR(H22="balk",L22="renege"),"",E22)</f>
      </c>
      <c r="Q22" s="77">
        <f>IF(Simulation!F22="renege",Simulation!K22,Simulation!L22)</f>
        <v>0.001388888888888884</v>
      </c>
      <c r="S22" s="77">
        <f>IF(ISNUMBER(SMALL(Simulation!$I$12:Simulation!$J$26,11)),SMALL(Simulation!$I$12:Simulation!$J$26,11),1)</f>
        <v>1</v>
      </c>
    </row>
    <row r="23" spans="1:19" ht="12.75">
      <c r="A23" s="88">
        <f t="shared" si="12"/>
        <v>12</v>
      </c>
      <c r="B23" s="67">
        <f ca="1" t="shared" si="6"/>
        <v>1</v>
      </c>
      <c r="C23" s="91">
        <f t="shared" si="7"/>
        <v>0.0006944444444444445</v>
      </c>
      <c r="D23" s="67">
        <f ca="1" t="shared" si="8"/>
        <v>4</v>
      </c>
      <c r="E23" s="91">
        <f t="shared" si="9"/>
        <v>0.002777777777777778</v>
      </c>
      <c r="F23" s="91">
        <f t="shared" si="10"/>
        <v>0.3847222222222222</v>
      </c>
      <c r="G23" s="96">
        <f>COUNTIF(N$11:$N22,"&gt;"&amp;F23)+COUNTIF(M$11:M22,"&gt;"&amp;F23)</f>
        <v>1</v>
      </c>
      <c r="H23" s="93" t="str">
        <f t="shared" si="11"/>
        <v>balk</v>
      </c>
      <c r="I23" s="91">
        <f>IF(OR(H23="balk",ISTEXT(F23)),"",MAX(Simulation!J$11:J22,start_time,$F23))</f>
      </c>
      <c r="J23" s="91">
        <f t="shared" si="0"/>
      </c>
      <c r="K23" s="91">
        <f t="shared" si="1"/>
      </c>
      <c r="L23" s="94">
        <f t="shared" si="2"/>
      </c>
      <c r="M23" s="91">
        <f t="shared" si="3"/>
      </c>
      <c r="N23" s="91">
        <f t="shared" si="4"/>
      </c>
      <c r="O23" s="93">
        <f t="shared" si="5"/>
      </c>
      <c r="P23" s="98">
        <f>IF(OR(H23="balk",L23="renege"),"",E23)</f>
      </c>
      <c r="Q23" s="77">
        <f>IF(Simulation!F23="renege",Simulation!K23,Simulation!L23)</f>
      </c>
      <c r="S23" s="77">
        <f>IF(ISNUMBER(SMALL(Simulation!$I$12:Simulation!$J$26,12)),SMALL(Simulation!$I$12:Simulation!$J$26,12),1)</f>
        <v>1</v>
      </c>
    </row>
    <row r="24" spans="1:19" ht="12.75">
      <c r="A24" s="88">
        <f t="shared" si="12"/>
        <v>13</v>
      </c>
      <c r="B24" s="67">
        <f ca="1" t="shared" si="6"/>
        <v>1</v>
      </c>
      <c r="C24" s="91">
        <f t="shared" si="7"/>
        <v>0.0006944444444444445</v>
      </c>
      <c r="D24" s="67">
        <f ca="1" t="shared" si="8"/>
        <v>4</v>
      </c>
      <c r="E24" s="91">
        <f t="shared" si="9"/>
        <v>0.002777777777777778</v>
      </c>
      <c r="F24" s="91">
        <f t="shared" si="10"/>
        <v>0.38541666666666663</v>
      </c>
      <c r="G24" s="96">
        <f>COUNTIF(N$11:$N23,"&gt;"&amp;F24)+COUNTIF(M$11:M23,"&gt;"&amp;F24)</f>
        <v>0</v>
      </c>
      <c r="H24" s="93">
        <f t="shared" si="11"/>
      </c>
      <c r="I24" s="91">
        <f>IF(OR(H24="balk",ISTEXT(F24)),"",MAX(Simulation!J$11:J23,start_time,$F24))</f>
        <v>0.38749999999999996</v>
      </c>
      <c r="J24" s="91">
        <f t="shared" si="0"/>
        <v>0.38749999999999996</v>
      </c>
      <c r="K24" s="91">
        <f t="shared" si="1"/>
        <v>0.002083333333333326</v>
      </c>
      <c r="L24" s="94" t="str">
        <f t="shared" si="2"/>
        <v>renege</v>
      </c>
      <c r="M24" s="91">
        <f t="shared" si="3"/>
        <v>0.3868055555555555</v>
      </c>
      <c r="N24" s="91">
        <f t="shared" si="4"/>
      </c>
      <c r="O24" s="93">
        <f t="shared" si="5"/>
      </c>
      <c r="P24" s="98">
        <f>IF(OR(H24="balk",L24="renege"),"",E24)</f>
      </c>
      <c r="Q24" s="77">
        <f>IF(Simulation!F24="renege",Simulation!K24,Simulation!L24)</f>
        <v>0.001388888888888884</v>
      </c>
      <c r="S24" s="77">
        <f>IF(ISNUMBER(SMALL(Simulation!$I$12:Simulation!$J$26,13)),SMALL(Simulation!$I$12:Simulation!$J$26,13),1)</f>
        <v>1</v>
      </c>
    </row>
    <row r="25" spans="1:19" ht="12.75">
      <c r="A25" s="88">
        <f t="shared" si="12"/>
        <v>14</v>
      </c>
      <c r="B25" s="67">
        <f ca="1" t="shared" si="6"/>
        <v>1</v>
      </c>
      <c r="C25" s="91">
        <f t="shared" si="7"/>
        <v>0.0006944444444444445</v>
      </c>
      <c r="D25" s="67">
        <f ca="1" t="shared" si="8"/>
        <v>6</v>
      </c>
      <c r="E25" s="91">
        <f t="shared" si="9"/>
        <v>0.004166666666666667</v>
      </c>
      <c r="F25" s="91">
        <f t="shared" si="10"/>
        <v>0.38611111111111107</v>
      </c>
      <c r="G25" s="96">
        <f>COUNTIF(N$11:$N24,"&gt;"&amp;F25)+COUNTIF(M$11:M24,"&gt;"&amp;F25)</f>
        <v>1</v>
      </c>
      <c r="H25" s="93" t="str">
        <f t="shared" si="11"/>
        <v>balk</v>
      </c>
      <c r="I25" s="91">
        <f>IF(OR(H25="balk",ISTEXT(F25)),"",MAX(Simulation!J$11:J24,start_time,$F25))</f>
      </c>
      <c r="J25" s="91">
        <f t="shared" si="0"/>
      </c>
      <c r="K25" s="91">
        <f t="shared" si="1"/>
      </c>
      <c r="L25" s="94">
        <f t="shared" si="2"/>
      </c>
      <c r="M25" s="91">
        <f t="shared" si="3"/>
      </c>
      <c r="N25" s="91">
        <f t="shared" si="4"/>
      </c>
      <c r="O25" s="93">
        <f t="shared" si="5"/>
      </c>
      <c r="P25" s="98">
        <f>IF(OR(H25="balk",L25="renege"),"",E25)</f>
      </c>
      <c r="Q25" s="77">
        <f>IF(Simulation!F25="renege",Simulation!K25,Simulation!L25)</f>
      </c>
      <c r="S25" s="77">
        <f>IF(ISNUMBER(SMALL(Simulation!$I$12:Simulation!$J$26,14)),SMALL(Simulation!$I$12:Simulation!$J$26,14),1)</f>
        <v>1</v>
      </c>
    </row>
    <row r="26" spans="1:19" ht="12.75">
      <c r="A26" s="88">
        <f t="shared" si="12"/>
        <v>15</v>
      </c>
      <c r="B26" s="67">
        <f ca="1" t="shared" si="6"/>
        <v>1</v>
      </c>
      <c r="C26" s="91">
        <f t="shared" si="7"/>
        <v>0.0006944444444444445</v>
      </c>
      <c r="D26" s="67">
        <f ca="1" t="shared" si="8"/>
        <v>6</v>
      </c>
      <c r="E26" s="91">
        <f t="shared" si="9"/>
        <v>0.004166666666666667</v>
      </c>
      <c r="F26" s="91">
        <f t="shared" si="10"/>
        <v>0.3868055555555555</v>
      </c>
      <c r="G26" s="96">
        <f>COUNTIF(N$11:$N25,"&gt;"&amp;F26)+COUNTIF(M$11:M25,"&gt;"&amp;F26)</f>
        <v>0</v>
      </c>
      <c r="H26" s="93">
        <f t="shared" si="11"/>
      </c>
      <c r="I26" s="91">
        <f>IF(OR(H26="balk",ISTEXT(F26)),"",MAX(Simulation!J$11:J25,start_time,$F26))</f>
        <v>0.38749999999999996</v>
      </c>
      <c r="J26" s="91">
        <f t="shared" si="0"/>
        <v>0.38749999999999996</v>
      </c>
      <c r="K26" s="91">
        <f t="shared" si="1"/>
        <v>0.000694444444444442</v>
      </c>
      <c r="L26" s="94">
        <f t="shared" si="2"/>
      </c>
      <c r="M26" s="91">
        <f t="shared" si="3"/>
      </c>
      <c r="N26" s="91">
        <f t="shared" si="4"/>
        <v>0.38749999999999996</v>
      </c>
      <c r="O26" s="93">
        <f t="shared" si="5"/>
        <v>1</v>
      </c>
      <c r="P26" s="98">
        <f>IF(OR(H26="balk",L26="renege"),"",E26)</f>
        <v>0.004166666666666667</v>
      </c>
      <c r="Q26" s="77">
        <f>IF(Simulation!F26="renege",Simulation!K26,Simulation!L26)</f>
        <v>0.000694444444444442</v>
      </c>
      <c r="S26" s="77">
        <f>IF(ISNUMBER(SMALL(Simulation!$I$12:Simulation!$J$26,15)),SMALL(Simulation!$I$12:Simulation!$J$26,15),1)</f>
        <v>1</v>
      </c>
    </row>
    <row r="27" spans="12:19" ht="12.75">
      <c r="L27" s="69"/>
      <c r="S27" s="77">
        <f>IF(ISNUMBER(SMALL(Simulation!$I$12:Simulation!$J$26,16)),SMALL(Simulation!$I$12:Simulation!$J$26,16),1)</f>
        <v>1</v>
      </c>
    </row>
    <row r="28" spans="6:19" ht="12.75">
      <c r="F28" s="70"/>
      <c r="G28" s="71"/>
      <c r="I28" s="53"/>
      <c r="J28" s="53"/>
      <c r="M28" s="72"/>
      <c r="N28" s="72"/>
      <c r="S28" s="77">
        <f>IF(ISNUMBER(SMALL(Simulation!$I$12:Simulation!$J$26,17)),SMALL(Simulation!$I$12:Simulation!$J$26,17),1)</f>
        <v>1</v>
      </c>
    </row>
    <row r="29" ht="12.75">
      <c r="S29" s="77">
        <f>IF(ISNUMBER(SMALL(Simulation!$I$12:Simulation!$J$26,18)),SMALL(Simulation!$I$12:Simulation!$J$26,18),1)</f>
        <v>1</v>
      </c>
    </row>
    <row r="30" spans="9:19" ht="12.75">
      <c r="I30" s="73"/>
      <c r="S30" s="77">
        <f>IF(ISNUMBER(SMALL(Simulation!$I$12:Simulation!$J$26,19)),SMALL(Simulation!$I$12:Simulation!$J$26,19),1)</f>
        <v>1</v>
      </c>
    </row>
    <row r="31" ht="12.75">
      <c r="S31" s="77">
        <f>IF(ISNUMBER(SMALL(Simulation!$I$12:Simulation!$J$26,20)),SMALL(Simulation!$I$12:Simulation!$J$26,20),1)</f>
        <v>1</v>
      </c>
    </row>
    <row r="32" spans="3:19" ht="12.75">
      <c r="C32" s="74"/>
      <c r="D32" s="75"/>
      <c r="G32" s="95"/>
      <c r="S32" s="77">
        <f>IF(ISNUMBER(SMALL(Simulation!$I$12:Simulation!$J$26,21)),SMALL(Simulation!$I$12:Simulation!$J$26,21),1)</f>
        <v>1</v>
      </c>
    </row>
    <row r="33" spans="3:19" ht="12.75">
      <c r="C33" s="74"/>
      <c r="D33" s="75"/>
      <c r="S33" s="77">
        <f>IF(ISNUMBER(SMALL(Simulation!$I$12:Simulation!$J$26,22)),SMALL(Simulation!$I$12:Simulation!$J$26,22),1)</f>
        <v>1</v>
      </c>
    </row>
    <row r="34" spans="3:19" ht="12.75">
      <c r="C34" s="74"/>
      <c r="D34" s="75"/>
      <c r="S34" s="77">
        <f>IF(ISNUMBER(SMALL(Simulation!$I$12:Simulation!$J$26,23)),SMALL(Simulation!$I$12:Simulation!$J$26,23),1)</f>
        <v>1</v>
      </c>
    </row>
    <row r="35" spans="3:19" ht="12.75">
      <c r="C35" s="74"/>
      <c r="D35" s="75"/>
      <c r="S35" s="77">
        <f>IF(ISNUMBER(SMALL(Simulation!$I$12:Simulation!$J$26,24)),SMALL(Simulation!$I$12:Simulation!$J$26,24),1)</f>
        <v>1</v>
      </c>
    </row>
    <row r="36" spans="3:19" ht="12.75">
      <c r="C36" s="74"/>
      <c r="D36" s="75"/>
      <c r="S36" s="77">
        <f>IF(ISNUMBER(SMALL(Simulation!$I$12:Simulation!$J$26,25)),SMALL(Simulation!$I$12:Simulation!$J$26,25),1)</f>
        <v>1</v>
      </c>
    </row>
    <row r="37" ht="12.75">
      <c r="S37" s="77">
        <f>IF(ISNUMBER(SMALL(Simulation!$I$12:Simulation!$J$26,26)),SMALL(Simulation!$I$12:Simulation!$J$26,26),1)</f>
        <v>1</v>
      </c>
    </row>
    <row r="38" ht="12.75">
      <c r="S38" s="77">
        <f>IF(ISNUMBER(SMALL(Simulation!$I$12:Simulation!$J$26,27)),SMALL(Simulation!$I$12:Simulation!$J$26,27),1)</f>
        <v>1</v>
      </c>
    </row>
    <row r="39" ht="12.75">
      <c r="S39" s="77">
        <f>IF(ISNUMBER(SMALL(Simulation!$I$12:Simulation!$J$26,28)),SMALL(Simulation!$I$12:Simulation!$J$26,28),1)</f>
        <v>1</v>
      </c>
    </row>
    <row r="40" ht="12.75">
      <c r="S40" s="77">
        <f>IF(ISNUMBER(SMALL(Simulation!$I$12:Simulation!$J$26,29)),SMALL(Simulation!$I$12:Simulation!$J$26,29),1)</f>
        <v>1</v>
      </c>
    </row>
    <row r="41" ht="12.75">
      <c r="S41" s="77">
        <f>IF(ISNUMBER(SMALL(Simulation!$I$12:Simulation!$J$26,30)),SMALL(Simulation!$I$12:Simulation!$J$26,30),1)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78</v>
      </c>
    </row>
    <row r="2" ht="15.75">
      <c r="A2" s="2" t="s">
        <v>47</v>
      </c>
    </row>
    <row r="3" ht="12.75" customHeight="1">
      <c r="B3" s="3" t="s">
        <v>48</v>
      </c>
    </row>
    <row r="4" ht="12.75" customHeight="1">
      <c r="B4" s="3"/>
    </row>
    <row r="5" ht="12.75">
      <c r="A5" s="4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10" ht="12.75">
      <c r="A10" s="4" t="s">
        <v>53</v>
      </c>
    </row>
    <row r="11" ht="12.75">
      <c r="A11" t="s">
        <v>54</v>
      </c>
    </row>
    <row r="12" ht="12.75">
      <c r="A12" t="s">
        <v>79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80</v>
      </c>
    </row>
    <row r="19" ht="12.75">
      <c r="A19" t="s">
        <v>81</v>
      </c>
    </row>
    <row r="20" ht="12.75">
      <c r="A20" t="s">
        <v>60</v>
      </c>
    </row>
    <row r="22" ht="12.75">
      <c r="A22" s="4" t="s">
        <v>61</v>
      </c>
    </row>
    <row r="23" ht="12.75">
      <c r="A23" t="s">
        <v>82</v>
      </c>
    </row>
    <row r="24" ht="12.75">
      <c r="A24" t="s">
        <v>83</v>
      </c>
    </row>
    <row r="25" ht="12.75">
      <c r="A25" t="s">
        <v>79</v>
      </c>
    </row>
    <row r="26" ht="12.75">
      <c r="A26" t="s">
        <v>62</v>
      </c>
    </row>
    <row r="27" ht="12.75">
      <c r="A27" t="s">
        <v>63</v>
      </c>
    </row>
    <row r="29" ht="12.75">
      <c r="A29" s="4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4" ht="12.75">
      <c r="A34" s="4" t="s">
        <v>68</v>
      </c>
    </row>
    <row r="35" ht="12.75">
      <c r="A35" t="s">
        <v>84</v>
      </c>
    </row>
    <row r="36" ht="12.75">
      <c r="A36" t="s">
        <v>69</v>
      </c>
    </row>
    <row r="37" ht="12.75">
      <c r="A37" t="s">
        <v>70</v>
      </c>
    </row>
    <row r="38" ht="12.75">
      <c r="A38" t="s">
        <v>71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3" ht="12.75">
      <c r="A43" s="4" t="s">
        <v>72</v>
      </c>
    </row>
    <row r="44" ht="12.75">
      <c r="A44" t="s">
        <v>88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50" ht="12.75">
      <c r="A50" s="4" t="s">
        <v>77</v>
      </c>
    </row>
    <row r="51" ht="12.75">
      <c r="A51" t="s">
        <v>89</v>
      </c>
    </row>
    <row r="52" ht="12.75">
      <c r="A52" t="s">
        <v>90</v>
      </c>
    </row>
    <row r="54" ht="12.75">
      <c r="A54" s="97" t="s">
        <v>91</v>
      </c>
    </row>
    <row r="55" ht="12.75">
      <c r="A55" t="s">
        <v>92</v>
      </c>
    </row>
    <row r="56" ht="12.75">
      <c r="A56" t="s">
        <v>93</v>
      </c>
    </row>
    <row r="57" ht="12.75">
      <c r="A57" t="s">
        <v>94</v>
      </c>
    </row>
    <row r="58" ht="12.75">
      <c r="A58" t="s">
        <v>95</v>
      </c>
    </row>
    <row r="60" ht="12.75">
      <c r="A60" s="5" t="s">
        <v>96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2001-03-19T00:55:35Z</dcterms:created>
  <dcterms:modified xsi:type="dcterms:W3CDTF">2001-09-17T16:02:08Z</dcterms:modified>
  <cp:category/>
  <cp:version/>
  <cp:contentType/>
  <cp:contentStatus/>
</cp:coreProperties>
</file>