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<sst xmlns="http://schemas.openxmlformats.org/spreadsheetml/2006/main" count="153" uniqueCount="97">
  <si>
    <t>Spreadsheet Simulation Queueing Engine:  2 Servers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</si>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</sst>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0.3784722222222222</c:v>
                </c:pt>
                <c:pt idx="1">
                  <c:v>0.37916666666666665</c:v>
                </c:pt>
                <c:pt idx="2">
                  <c:v>0.38263888888888886</c:v>
                </c:pt>
                <c:pt idx="3">
                  <c:v>0.3833333333333333</c:v>
                </c:pt>
                <c:pt idx="4">
                  <c:v>0.38541666666666663</c:v>
                </c:pt>
                <c:pt idx="5">
                  <c:v>0.38749999999999996</c:v>
                </c:pt>
                <c:pt idx="6">
                  <c:v>0.3881944444444444</c:v>
                </c:pt>
                <c:pt idx="7">
                  <c:v>0.3951388888888888</c:v>
                </c:pt>
                <c:pt idx="8">
                  <c:v>0.39583333333333326</c:v>
                </c:pt>
                <c:pt idx="9">
                  <c:v>0.3965277777777777</c:v>
                </c:pt>
                <c:pt idx="10">
                  <c:v>0.398611111111111</c:v>
                </c:pt>
                <c:pt idx="11">
                  <c:v>0.39930555555555547</c:v>
                </c:pt>
                <c:pt idx="12">
                  <c:v>0.4027777777777777</c:v>
                </c:pt>
                <c:pt idx="13">
                  <c:v>0.4034722222222221</c:v>
                </c:pt>
                <c:pt idx="14">
                  <c:v>0.40555555555555545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Computations!$M$12:$M$26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0.00347222222222221</c:v>
                </c:pt>
                <c:pt idx="5">
                  <c:v>0.002083333333333326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0.001388888888888884</c:v>
                </c:pt>
                <c:pt idx="10">
                  <c:v>0.002777777777777768</c:v>
                </c:pt>
                <c:pt idx="11">
                  <c:v>0.002777777777777768</c:v>
                </c:pt>
                <c:pt idx="12">
                  <c:v>0.004861111111111094</c:v>
                </c:pt>
                <c:pt idx="13">
                  <c:v>0.004861111111111094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Computations!$N$12:$N$26</c:f>
              <c:numCache>
                <c:ptCount val="15"/>
                <c:pt idx="0">
                  <c:v>0.004166666666666667</c:v>
                </c:pt>
                <c:pt idx="1">
                  <c:v>0.0020833333333333333</c:v>
                </c:pt>
                <c:pt idx="2">
                  <c:v>0.00625</c:v>
                </c:pt>
                <c:pt idx="3">
                  <c:v>0.00625</c:v>
                </c:pt>
                <c:pt idx="4">
                  <c:v>0.00625</c:v>
                </c:pt>
                <c:pt idx="5">
                  <c:v>0.00625</c:v>
                </c:pt>
                <c:pt idx="6">
                  <c:v>0</c:v>
                </c:pt>
                <c:pt idx="7">
                  <c:v>0.00625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0.00625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</c:v>
                </c:pt>
              </c:numCache>
            </c:numRef>
          </c:val>
        </c:ser>
        <c:overlap val="100"/>
        <c:gapWidth val="0"/>
        <c:axId val="1755267"/>
        <c:axId val="15797404"/>
      </c:barChart>
      <c:catAx>
        <c:axId val="1755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Computations!$P$41:$Q$41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Computations!$P$40:$Q$40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Computations!$P$39:$Q$39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Computations!$P$38:$Q$38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Computations!$P$37:$Q$37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Computations!$P$36:$Q$36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Computations!$P$35:$Q$35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Computations!$P$34:$Q$34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Computations!$P$33:$Q$33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Computations!$P$32:$Q$32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Computations!$P$31:$Q$31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Computations!$P$30:$Q$30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Computations!$P$29:$Q$29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Computations!$P$28:$Q$28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Computations!$P$27:$Q$27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Computations!$P$26:$Q$26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Computations!$P$25:$Q$25</c:f>
              <c:numCache>
                <c:ptCount val="2"/>
                <c:pt idx="0">
                  <c:v>1</c:v>
                </c:pt>
                <c:pt idx="1">
                  <c:v>0.41249999999999987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Computations!$P$24:$Q$24</c:f>
              <c:numCache>
                <c:ptCount val="2"/>
                <c:pt idx="0">
                  <c:v>1</c:v>
                </c:pt>
                <c:pt idx="1">
                  <c:v>0.4083333333333332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Computations!$P$23:$Q$23</c:f>
              <c:numCache>
                <c:ptCount val="2"/>
                <c:pt idx="0">
                  <c:v>0.41388888888888875</c:v>
                </c:pt>
                <c:pt idx="1">
                  <c:v>0.4083333333333332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Computations!$P$22:$Q$22</c:f>
              <c:numCache>
                <c:ptCount val="2"/>
                <c:pt idx="0">
                  <c:v>0.4076388888888888</c:v>
                </c:pt>
                <c:pt idx="1">
                  <c:v>0.40208333333333324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Computations!$P$21:$Q$21</c:f>
              <c:numCache>
                <c:ptCount val="2"/>
                <c:pt idx="0">
                  <c:v>0.4076388888888888</c:v>
                </c:pt>
                <c:pt idx="1">
                  <c:v>0.40208333333333324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Computations!$P$20:$Q$20</c:f>
              <c:numCache>
                <c:ptCount val="2"/>
                <c:pt idx="0">
                  <c:v>0.4013888888888888</c:v>
                </c:pt>
                <c:pt idx="1">
                  <c:v>0.3979166666666666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Computations!$P$19:$Q$19</c:f>
              <c:numCache>
                <c:ptCount val="2"/>
                <c:pt idx="0">
                  <c:v>0.4013888888888888</c:v>
                </c:pt>
                <c:pt idx="1">
                  <c:v>0.3979166666666666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Computations!$P$18:$Q$18</c:f>
              <c:numCache>
                <c:ptCount val="2"/>
                <c:pt idx="0">
                  <c:v>0.3951388888888888</c:v>
                </c:pt>
                <c:pt idx="1">
                  <c:v>0.39583333333333326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Computations!$P$17:$Q$17</c:f>
              <c:numCache>
                <c:ptCount val="2"/>
                <c:pt idx="0">
                  <c:v>0.3951388888888888</c:v>
                </c:pt>
                <c:pt idx="1">
                  <c:v>0.39583333333333326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Computations!$P$16:$Q$16</c:f>
              <c:numCache>
                <c:ptCount val="2"/>
                <c:pt idx="0">
                  <c:v>0.38888888888888884</c:v>
                </c:pt>
                <c:pt idx="1">
                  <c:v>0.3895833333333333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Computations!$P$15:$Q$15</c:f>
              <c:numCache>
                <c:ptCount val="2"/>
                <c:pt idx="0">
                  <c:v>0.38888888888888884</c:v>
                </c:pt>
                <c:pt idx="1">
                  <c:v>0.3895833333333333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Computations!$P$14:$Q$14</c:f>
              <c:numCache>
                <c:ptCount val="2"/>
                <c:pt idx="0">
                  <c:v>0.38263888888888886</c:v>
                </c:pt>
                <c:pt idx="1">
                  <c:v>0.3833333333333333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Computations!$P$13:$Q$13</c:f>
              <c:numCache>
                <c:ptCount val="2"/>
                <c:pt idx="0">
                  <c:v>0.38263888888888886</c:v>
                </c:pt>
                <c:pt idx="1">
                  <c:v>0.38125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Computations!$P$11:$Q$11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Computations!$P$12:$Q$12</c:f>
              <c:numCache>
                <c:ptCount val="2"/>
                <c:pt idx="0">
                  <c:v>0.3784722222222222</c:v>
                </c:pt>
                <c:pt idx="1">
                  <c:v>0.37916666666666665</c:v>
                </c:pt>
              </c:numCache>
            </c:numRef>
          </c:val>
        </c:ser>
        <c:overlap val="100"/>
        <c:axId val="7958909"/>
        <c:axId val="4521318"/>
      </c:barChart>
      <c:catAx>
        <c:axId val="7958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219075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27</xdr:row>
      <xdr:rowOff>104775</xdr:rowOff>
    </xdr:from>
    <xdr:to>
      <xdr:col>21</xdr:col>
      <xdr:colOff>314325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0300" y="4486275"/>
        <a:ext cx="62103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2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12" width="9.140625" style="6" customWidth="1"/>
    <col min="13" max="13" width="7.421875" style="6" customWidth="1"/>
    <col min="14" max="18" width="7.7109375" style="6" customWidth="1"/>
    <col min="19" max="19" width="9.140625" style="49" customWidth="1"/>
    <col min="20" max="20" width="9.140625" style="7" customWidth="1"/>
    <col min="21" max="16384" width="9.140625" style="6" customWidth="1"/>
  </cols>
  <sheetData>
    <row r="1" spans="1:20" ht="12.75">
      <c r="A1" s="5"/>
      <c r="B1" s="48"/>
      <c r="C1" s="5"/>
      <c r="D1" s="67"/>
      <c r="E1" s="5"/>
      <c r="F1" s="5"/>
      <c r="G1" s="5"/>
      <c r="H1" s="5"/>
      <c r="I1" s="5"/>
      <c r="S1" s="6"/>
      <c r="T1" s="6"/>
    </row>
    <row r="2" spans="1:20" ht="12.75">
      <c r="A2" s="5"/>
      <c r="B2" s="48"/>
      <c r="C2" s="5"/>
      <c r="D2" s="67"/>
      <c r="E2" s="5"/>
      <c r="F2" s="5"/>
      <c r="G2" s="5"/>
      <c r="H2" s="5"/>
      <c r="I2" s="5"/>
      <c r="S2" s="6"/>
      <c r="T2" s="6"/>
    </row>
    <row r="3" spans="1:20" ht="12.75">
      <c r="A3" s="5"/>
      <c r="B3" s="48"/>
      <c r="C3" s="5"/>
      <c r="D3" s="67"/>
      <c r="E3" s="5"/>
      <c r="F3" s="5"/>
      <c r="G3" s="5"/>
      <c r="H3" s="5"/>
      <c r="I3" s="5"/>
      <c r="S3" s="6"/>
      <c r="T3" s="6"/>
    </row>
    <row r="4" spans="1:20" ht="12.75">
      <c r="A4" s="5"/>
      <c r="B4" s="48"/>
      <c r="C4" s="5"/>
      <c r="D4" s="67"/>
      <c r="E4" s="5"/>
      <c r="F4" s="5"/>
      <c r="G4" s="5"/>
      <c r="H4" s="5"/>
      <c r="I4" s="5"/>
      <c r="S4" s="6"/>
      <c r="T4" s="6"/>
    </row>
    <row r="6" ht="12.75">
      <c r="D6" s="50" t="s">
        <v>16</v>
      </c>
    </row>
    <row r="7" spans="1:12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40" t="s">
        <v>22</v>
      </c>
      <c r="L7" s="40" t="s">
        <v>23</v>
      </c>
    </row>
    <row r="8" spans="1:12" s="40" customFormat="1" ht="12.75">
      <c r="A8" s="40" t="s">
        <v>24</v>
      </c>
      <c r="B8" s="50" t="s">
        <v>14</v>
      </c>
      <c r="C8" s="50" t="s">
        <v>14</v>
      </c>
      <c r="D8" s="50" t="s">
        <v>25</v>
      </c>
      <c r="E8" s="40" t="s">
        <v>26</v>
      </c>
      <c r="F8" s="40" t="s">
        <v>14</v>
      </c>
      <c r="G8" s="69" t="s">
        <v>27</v>
      </c>
      <c r="H8" s="69" t="s">
        <v>28</v>
      </c>
      <c r="I8" s="69" t="s">
        <v>27</v>
      </c>
      <c r="J8" s="69" t="s">
        <v>28</v>
      </c>
      <c r="K8" s="70" t="s">
        <v>14</v>
      </c>
      <c r="L8" s="70" t="s">
        <v>14</v>
      </c>
    </row>
    <row r="9" spans="1:12" s="40" customFormat="1" ht="13.5" thickBot="1">
      <c r="A9" s="41"/>
      <c r="B9" s="51" t="s">
        <v>15</v>
      </c>
      <c r="C9" s="41" t="s">
        <v>29</v>
      </c>
      <c r="D9" s="51" t="s">
        <v>30</v>
      </c>
      <c r="E9" s="41"/>
      <c r="F9" s="41" t="s">
        <v>15</v>
      </c>
      <c r="G9" s="41" t="s">
        <v>29</v>
      </c>
      <c r="H9" s="41" t="s">
        <v>29</v>
      </c>
      <c r="I9" s="41" t="s">
        <v>29</v>
      </c>
      <c r="J9" s="41" t="s">
        <v>29</v>
      </c>
      <c r="K9" s="41" t="s">
        <v>29</v>
      </c>
      <c r="L9" s="41" t="s">
        <v>29</v>
      </c>
    </row>
    <row r="10" spans="2:10" s="42" customFormat="1" ht="12.75">
      <c r="B10" s="52"/>
      <c r="D10" s="52"/>
      <c r="G10" s="71"/>
      <c r="H10" s="71"/>
      <c r="I10" s="71"/>
      <c r="J10" s="71"/>
    </row>
    <row r="11" spans="1:12" s="42" customFormat="1" ht="12.75">
      <c r="A11" s="73" t="s">
        <v>31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3"/>
      <c r="L11" s="73"/>
    </row>
    <row r="12" spans="1:12" s="42" customFormat="1" ht="12.75">
      <c r="A12" s="73">
        <f>Computations!A12</f>
        <v>1</v>
      </c>
      <c r="B12" s="74">
        <f>IF(ISTEXT(C12),"",Computations!B12)</f>
        <v>5</v>
      </c>
      <c r="C12" s="75">
        <f>IF(Computations!F12="closed",Computations!F11+Computations!C12,Computations!F12)</f>
        <v>0.3784722222222222</v>
      </c>
      <c r="D12" s="74">
        <f>IF(ISTEXT(A12),"",Computations!G12)</f>
        <v>0</v>
      </c>
      <c r="E12" s="73">
        <f>Computations!H12</f>
      </c>
      <c r="F12" s="73">
        <f>IF(ISTEXT(Computations!K12),"",Computations!D12)</f>
        <v>6</v>
      </c>
      <c r="G12" s="75">
        <f>IF(Computations!$L12=1,Computations!K12,"")</f>
        <v>0.3784722222222222</v>
      </c>
      <c r="H12" s="75">
        <f>IF(ISTEXT($G12),"",$G12+Computations!$E12)</f>
        <v>0.38263888888888886</v>
      </c>
      <c r="I12" s="75">
        <f>IF(Computations!$L12=2,Computations!K12,"")</f>
      </c>
      <c r="J12" s="75">
        <f>IF(ISTEXT($I12),"",$I12+Computations!$E12)</f>
      </c>
      <c r="K12" s="75">
        <f>Computations!M12</f>
        <v>0</v>
      </c>
      <c r="L12" s="75">
        <f>IF(ISTEXT($K12),"",Computations!$E12+K12)</f>
        <v>0.004166666666666667</v>
      </c>
    </row>
    <row r="13" spans="1:12" s="42" customFormat="1" ht="12.75">
      <c r="A13" s="73">
        <f>Computations!A13</f>
        <v>2</v>
      </c>
      <c r="B13" s="74">
        <f>IF(ISTEXT(C13),"",Computations!B13)</f>
        <v>1</v>
      </c>
      <c r="C13" s="75">
        <f>IF(Computations!F13="closed",Computations!F12+Computations!C13,Computations!F13)</f>
        <v>0.37916666666666665</v>
      </c>
      <c r="D13" s="74">
        <f>IF(ISTEXT(A13),"",Computations!G13)</f>
        <v>0</v>
      </c>
      <c r="E13" s="73">
        <f>Computations!H13</f>
      </c>
      <c r="F13" s="73">
        <f>IF(ISTEXT(Computations!K13),"",Computations!D13)</f>
        <v>3</v>
      </c>
      <c r="G13" s="75">
        <f>IF(Computations!$L13=1,Computations!K13,"")</f>
      </c>
      <c r="H13" s="75">
        <f>IF(ISTEXT($G13),"",$G13+Computations!$E13)</f>
      </c>
      <c r="I13" s="75">
        <f>IF(Computations!$L13=2,Computations!K13,"")</f>
        <v>0.37916666666666665</v>
      </c>
      <c r="J13" s="75">
        <f>IF(ISTEXT($I13),"",$I13+Computations!$E13)</f>
        <v>0.38125</v>
      </c>
      <c r="K13" s="75">
        <f>Computations!M13</f>
        <v>0</v>
      </c>
      <c r="L13" s="75">
        <f>IF(ISTEXT($K13),"",Computations!$E13+K13)</f>
        <v>0.0020833333333333333</v>
      </c>
    </row>
    <row r="14" spans="1:12" s="42" customFormat="1" ht="12.75">
      <c r="A14" s="73">
        <f>Computations!A14</f>
        <v>3</v>
      </c>
      <c r="B14" s="74">
        <f>IF(ISTEXT(C14),"",Computations!B14)</f>
        <v>5</v>
      </c>
      <c r="C14" s="75">
        <f>IF(Computations!F14="closed",Computations!F13+Computations!C14,Computations!F14)</f>
        <v>0.38263888888888886</v>
      </c>
      <c r="D14" s="74">
        <f>IF(ISTEXT(A14),"",Computations!G14)</f>
        <v>0</v>
      </c>
      <c r="E14" s="73">
        <f>Computations!H14</f>
      </c>
      <c r="F14" s="73">
        <f>IF(ISTEXT(Computations!K14),"",Computations!D14)</f>
        <v>9</v>
      </c>
      <c r="G14" s="75">
        <f>IF(Computations!$L14=1,Computations!K14,"")</f>
        <v>0.38263888888888886</v>
      </c>
      <c r="H14" s="75">
        <f>IF(ISTEXT($G14),"",$G14+Computations!$E14)</f>
        <v>0.38888888888888884</v>
      </c>
      <c r="I14" s="75">
        <f>IF(Computations!$L14=2,Computations!K14,"")</f>
      </c>
      <c r="J14" s="75">
        <f>IF(ISTEXT($I14),"",$I14+Computations!$E14)</f>
      </c>
      <c r="K14" s="75">
        <f>Computations!M14</f>
        <v>0</v>
      </c>
      <c r="L14" s="75">
        <f>IF(ISTEXT($K14),"",Computations!$E14+K14)</f>
        <v>0.00625</v>
      </c>
    </row>
    <row r="15" spans="1:12" s="42" customFormat="1" ht="12.75">
      <c r="A15" s="73">
        <f>Computations!A15</f>
        <v>4</v>
      </c>
      <c r="B15" s="74">
        <f>IF(ISTEXT(C15),"",Computations!B15)</f>
        <v>1</v>
      </c>
      <c r="C15" s="75">
        <f>IF(Computations!F15="closed",Computations!F14+Computations!C15,Computations!F15)</f>
        <v>0.3833333333333333</v>
      </c>
      <c r="D15" s="74">
        <f>IF(ISTEXT(A15),"",Computations!G15)</f>
        <v>0</v>
      </c>
      <c r="E15" s="73">
        <f>Computations!H15</f>
      </c>
      <c r="F15" s="73">
        <f>IF(ISTEXT(Computations!K15),"",Computations!D15)</f>
        <v>9</v>
      </c>
      <c r="G15" s="75">
        <f>IF(Computations!$L15=1,Computations!K15,"")</f>
      </c>
      <c r="H15" s="75">
        <f>IF(ISTEXT($G15),"",$G15+Computations!$E15)</f>
      </c>
      <c r="I15" s="75">
        <f>IF(Computations!$L15=2,Computations!K15,"")</f>
        <v>0.3833333333333333</v>
      </c>
      <c r="J15" s="75">
        <f>IF(ISTEXT($I15),"",$I15+Computations!$E15)</f>
        <v>0.3895833333333333</v>
      </c>
      <c r="K15" s="75">
        <f>Computations!M15</f>
        <v>0</v>
      </c>
      <c r="L15" s="75">
        <f>IF(ISTEXT($K15),"",Computations!$E15+K15)</f>
        <v>0.00625</v>
      </c>
    </row>
    <row r="16" spans="1:12" s="42" customFormat="1" ht="12.75">
      <c r="A16" s="73">
        <f>Computations!A16</f>
        <v>5</v>
      </c>
      <c r="B16" s="74">
        <f>IF(ISTEXT(C16),"",Computations!B16)</f>
        <v>3</v>
      </c>
      <c r="C16" s="75">
        <f>IF(Computations!F16="closed",Computations!F15+Computations!C16,Computations!F16)</f>
        <v>0.38541666666666663</v>
      </c>
      <c r="D16" s="74">
        <f>IF(ISTEXT(A16),"",Computations!G16)</f>
        <v>0</v>
      </c>
      <c r="E16" s="73">
        <f>Computations!H16</f>
      </c>
      <c r="F16" s="73">
        <f>IF(ISTEXT(Computations!K16),"",Computations!D16)</f>
        <v>9</v>
      </c>
      <c r="G16" s="75">
        <f>IF(Computations!$L16=1,Computations!K16,"")</f>
        <v>0.38888888888888884</v>
      </c>
      <c r="H16" s="75">
        <f>IF(ISTEXT($G16),"",$G16+Computations!$E16)</f>
        <v>0.3951388888888888</v>
      </c>
      <c r="I16" s="75">
        <f>IF(Computations!$L16=2,Computations!K16,"")</f>
      </c>
      <c r="J16" s="75">
        <f>IF(ISTEXT($I16),"",$I16+Computations!$E16)</f>
      </c>
      <c r="K16" s="75">
        <f>Computations!M16</f>
        <v>0.00347222222222221</v>
      </c>
      <c r="L16" s="75">
        <f>IF(ISTEXT($K16),"",Computations!$E16+K16)</f>
        <v>0.00972222222222221</v>
      </c>
    </row>
    <row r="17" spans="1:12" s="42" customFormat="1" ht="12.75">
      <c r="A17" s="73">
        <f>Computations!A17</f>
        <v>6</v>
      </c>
      <c r="B17" s="74">
        <f>IF(ISTEXT(C17),"",Computations!B17)</f>
        <v>3</v>
      </c>
      <c r="C17" s="75">
        <f>IF(Computations!F17="closed",Computations!F16+Computations!C17,Computations!F17)</f>
        <v>0.38749999999999996</v>
      </c>
      <c r="D17" s="74">
        <f>IF(ISTEXT(A17),"",Computations!G17)</f>
        <v>1</v>
      </c>
      <c r="E17" s="73">
        <f>Computations!H17</f>
      </c>
      <c r="F17" s="73">
        <f>IF(ISTEXT(Computations!K17),"",Computations!D17)</f>
        <v>9</v>
      </c>
      <c r="G17" s="75">
        <f>IF(Computations!$L17=1,Computations!K17,"")</f>
      </c>
      <c r="H17" s="75">
        <f>IF(ISTEXT($G17),"",$G17+Computations!$E17)</f>
      </c>
      <c r="I17" s="75">
        <f>IF(Computations!$L17=2,Computations!K17,"")</f>
        <v>0.3895833333333333</v>
      </c>
      <c r="J17" s="75">
        <f>IF(ISTEXT($I17),"",$I17+Computations!$E17)</f>
        <v>0.39583333333333326</v>
      </c>
      <c r="K17" s="75">
        <f>Computations!M17</f>
        <v>0.002083333333333326</v>
      </c>
      <c r="L17" s="75">
        <f>IF(ISTEXT($K17),"",Computations!$E17+K17)</f>
        <v>0.008333333333333326</v>
      </c>
    </row>
    <row r="18" spans="1:12" s="42" customFormat="1" ht="12.75">
      <c r="A18" s="73">
        <f>Computations!A18</f>
        <v>7</v>
      </c>
      <c r="B18" s="74">
        <f>IF(ISTEXT(C18),"",Computations!B18)</f>
        <v>1</v>
      </c>
      <c r="C18" s="75">
        <f>IF(Computations!F18="closed",Computations!F17+Computations!C18,Computations!F18)</f>
        <v>0.3881944444444444</v>
      </c>
      <c r="D18" s="74">
        <f>IF(ISTEXT(A18),"",Computations!G18)</f>
        <v>2</v>
      </c>
      <c r="E18" s="73" t="str">
        <f>Computations!H18</f>
        <v>balk</v>
      </c>
      <c r="F18" s="73">
        <f>IF(ISTEXT(Computations!K18),"",Computations!D18)</f>
      </c>
      <c r="G18" s="75">
        <f>IF(Computations!$L18=1,Computations!K18,"")</f>
      </c>
      <c r="H18" s="75">
        <f>IF(ISTEXT($G18),"",$G18+Computations!$E18)</f>
      </c>
      <c r="I18" s="75">
        <f>IF(Computations!$L18=2,Computations!K18,"")</f>
      </c>
      <c r="J18" s="75">
        <f>IF(ISTEXT($I18),"",$I18+Computations!$E18)</f>
      </c>
      <c r="K18" s="75">
        <f>Computations!M18</f>
      </c>
      <c r="L18" s="75">
        <f>IF(ISTEXT($K18),"",Computations!$E18+K18)</f>
      </c>
    </row>
    <row r="19" spans="1:12" s="42" customFormat="1" ht="12.75">
      <c r="A19" s="73">
        <f>Computations!A19</f>
        <v>8</v>
      </c>
      <c r="B19" s="74">
        <f>IF(ISTEXT(C19),"",Computations!B19)</f>
        <v>10</v>
      </c>
      <c r="C19" s="75">
        <f>IF(Computations!F19="closed",Computations!F18+Computations!C19,Computations!F19)</f>
        <v>0.3951388888888888</v>
      </c>
      <c r="D19" s="74">
        <f>IF(ISTEXT(A19),"",Computations!G19)</f>
        <v>0</v>
      </c>
      <c r="E19" s="73">
        <f>Computations!H19</f>
      </c>
      <c r="F19" s="73">
        <f>IF(ISTEXT(Computations!K19),"",Computations!D19)</f>
        <v>9</v>
      </c>
      <c r="G19" s="75">
        <f>IF(Computations!$L19=1,Computations!K19,"")</f>
        <v>0.3951388888888888</v>
      </c>
      <c r="H19" s="75">
        <f>IF(ISTEXT($G19),"",$G19+Computations!$E19)</f>
        <v>0.4013888888888888</v>
      </c>
      <c r="I19" s="75">
        <f>IF(Computations!$L19=2,Computations!K19,"")</f>
      </c>
      <c r="J19" s="75">
        <f>IF(ISTEXT($I19),"",$I19+Computations!$E19)</f>
      </c>
      <c r="K19" s="75">
        <f>Computations!M19</f>
        <v>0</v>
      </c>
      <c r="L19" s="75">
        <f>IF(ISTEXT($K19),"",Computations!$E19+K19)</f>
        <v>0.00625</v>
      </c>
    </row>
    <row r="20" spans="1:12" s="42" customFormat="1" ht="12.75">
      <c r="A20" s="73">
        <f>Computations!A20</f>
        <v>9</v>
      </c>
      <c r="B20" s="74">
        <f>IF(ISTEXT(C20),"",Computations!B20)</f>
        <v>1</v>
      </c>
      <c r="C20" s="75">
        <f>IF(Computations!F20="closed",Computations!F19+Computations!C20,Computations!F20)</f>
        <v>0.39583333333333326</v>
      </c>
      <c r="D20" s="74">
        <f>IF(ISTEXT(A20),"",Computations!G20)</f>
        <v>0</v>
      </c>
      <c r="E20" s="73">
        <f>Computations!H20</f>
      </c>
      <c r="F20" s="73">
        <f>IF(ISTEXT(Computations!K20),"",Computations!D20)</f>
        <v>3</v>
      </c>
      <c r="G20" s="75">
        <f>IF(Computations!$L20=1,Computations!K20,"")</f>
      </c>
      <c r="H20" s="75">
        <f>IF(ISTEXT($G20),"",$G20+Computations!$E20)</f>
      </c>
      <c r="I20" s="75">
        <f>IF(Computations!$L20=2,Computations!K20,"")</f>
        <v>0.39583333333333326</v>
      </c>
      <c r="J20" s="75">
        <f>IF(ISTEXT($I20),"",$I20+Computations!$E20)</f>
        <v>0.3979166666666666</v>
      </c>
      <c r="K20" s="75">
        <f>Computations!M20</f>
        <v>0</v>
      </c>
      <c r="L20" s="75">
        <f>IF(ISTEXT($K20),"",Computations!$E20+K20)</f>
        <v>0.0020833333333333333</v>
      </c>
    </row>
    <row r="21" spans="1:12" s="42" customFormat="1" ht="12.75">
      <c r="A21" s="73">
        <f>Computations!A21</f>
        <v>10</v>
      </c>
      <c r="B21" s="74">
        <f>IF(ISTEXT(C21),"",Computations!B21)</f>
        <v>1</v>
      </c>
      <c r="C21" s="75">
        <f>IF(Computations!F21="closed",Computations!F20+Computations!C21,Computations!F21)</f>
        <v>0.3965277777777777</v>
      </c>
      <c r="D21" s="74">
        <f>IF(ISTEXT(A21),"",Computations!G21)</f>
        <v>0</v>
      </c>
      <c r="E21" s="73">
        <f>Computations!H21</f>
      </c>
      <c r="F21" s="73">
        <f>IF(ISTEXT(Computations!K21),"",Computations!D21)</f>
        <v>6</v>
      </c>
      <c r="G21" s="75">
        <f>IF(Computations!$L21=1,Computations!K21,"")</f>
      </c>
      <c r="H21" s="75">
        <f>IF(ISTEXT($G21),"",$G21+Computations!$E21)</f>
      </c>
      <c r="I21" s="75">
        <f>IF(Computations!$L21=2,Computations!K21,"")</f>
        <v>0.3979166666666666</v>
      </c>
      <c r="J21" s="75">
        <f>IF(ISTEXT($I21),"",$I21+Computations!$E21)</f>
        <v>0.40208333333333324</v>
      </c>
      <c r="K21" s="75">
        <f>Computations!M21</f>
        <v>0.001388888888888884</v>
      </c>
      <c r="L21" s="75">
        <f>IF(ISTEXT($K21),"",Computations!$E21+K21)</f>
        <v>0.0055555555555555506</v>
      </c>
    </row>
    <row r="22" spans="1:12" s="42" customFormat="1" ht="12.75">
      <c r="A22" s="73">
        <f>Computations!A22</f>
        <v>11</v>
      </c>
      <c r="B22" s="74">
        <f>IF(ISTEXT(C22),"",Computations!B22)</f>
        <v>3</v>
      </c>
      <c r="C22" s="75">
        <f>IF(Computations!F22="closed",Computations!F21+Computations!C22,Computations!F22)</f>
        <v>0.398611111111111</v>
      </c>
      <c r="D22" s="74">
        <f>IF(ISTEXT(A22),"",Computations!G22)</f>
        <v>0</v>
      </c>
      <c r="E22" s="73">
        <f>Computations!H22</f>
      </c>
      <c r="F22" s="73">
        <f>IF(ISTEXT(Computations!K22),"",Computations!D22)</f>
        <v>9</v>
      </c>
      <c r="G22" s="75">
        <f>IF(Computations!$L22=1,Computations!K22,"")</f>
        <v>0.4013888888888888</v>
      </c>
      <c r="H22" s="75">
        <f>IF(ISTEXT($G22),"",$G22+Computations!$E22)</f>
        <v>0.4076388888888888</v>
      </c>
      <c r="I22" s="75">
        <f>IF(Computations!$L22=2,Computations!K22,"")</f>
      </c>
      <c r="J22" s="75">
        <f>IF(ISTEXT($I22),"",$I22+Computations!$E22)</f>
      </c>
      <c r="K22" s="75">
        <f>Computations!M22</f>
        <v>0.002777777777777768</v>
      </c>
      <c r="L22" s="75">
        <f>IF(ISTEXT($K22),"",Computations!$E22+K22)</f>
        <v>0.009027777777777768</v>
      </c>
    </row>
    <row r="23" spans="1:22" ht="12.75">
      <c r="A23" s="73">
        <f>Computations!A23</f>
        <v>12</v>
      </c>
      <c r="B23" s="74">
        <f>IF(ISTEXT(C23),"",Computations!B23)</f>
        <v>1</v>
      </c>
      <c r="C23" s="75">
        <f>IF(Computations!F23="closed",Computations!F22+Computations!C23,Computations!F23)</f>
        <v>0.39930555555555547</v>
      </c>
      <c r="D23" s="74">
        <f>IF(ISTEXT(A23),"",Computations!G23)</f>
        <v>1</v>
      </c>
      <c r="E23" s="73">
        <f>Computations!H23</f>
      </c>
      <c r="F23" s="73">
        <f>IF(ISTEXT(Computations!K23),"",Computations!D23)</f>
        <v>9</v>
      </c>
      <c r="G23" s="75">
        <f>IF(Computations!$L23=1,Computations!K23,"")</f>
      </c>
      <c r="H23" s="75">
        <f>IF(ISTEXT($G23),"",$G23+Computations!$E23)</f>
      </c>
      <c r="I23" s="75">
        <f>IF(Computations!$L23=2,Computations!K23,"")</f>
        <v>0.40208333333333324</v>
      </c>
      <c r="J23" s="75">
        <f>IF(ISTEXT($I23),"",$I23+Computations!$E23)</f>
        <v>0.4083333333333332</v>
      </c>
      <c r="K23" s="75">
        <f>Computations!M23</f>
        <v>0.002777777777777768</v>
      </c>
      <c r="L23" s="75">
        <f>IF(ISTEXT($K23),"",Computations!$E23+K23)</f>
        <v>0.009027777777777768</v>
      </c>
      <c r="V23" s="42"/>
    </row>
    <row r="24" spans="1:12" ht="12.75">
      <c r="A24" s="73">
        <f>Computations!A24</f>
        <v>13</v>
      </c>
      <c r="B24" s="74">
        <f>IF(ISTEXT(C24),"",Computations!B24)</f>
        <v>5</v>
      </c>
      <c r="C24" s="75">
        <f>IF(Computations!F24="closed",Computations!F23+Computations!C24,Computations!F24)</f>
        <v>0.4027777777777777</v>
      </c>
      <c r="D24" s="74">
        <f>IF(ISTEXT(A24),"",Computations!G24)</f>
        <v>0</v>
      </c>
      <c r="E24" s="73">
        <f>Computations!H24</f>
      </c>
      <c r="F24" s="73">
        <f>IF(ISTEXT(Computations!K24),"",Computations!D24)</f>
        <v>9</v>
      </c>
      <c r="G24" s="75">
        <f>IF(Computations!$L24=1,Computations!K24,"")</f>
        <v>0.4076388888888888</v>
      </c>
      <c r="H24" s="75">
        <f>IF(ISTEXT($G24),"",$G24+Computations!$E24)</f>
        <v>0.41388888888888875</v>
      </c>
      <c r="I24" s="75">
        <f>IF(Computations!$L24=2,Computations!K24,"")</f>
      </c>
      <c r="J24" s="75">
        <f>IF(ISTEXT($I24),"",$I24+Computations!$E24)</f>
      </c>
      <c r="K24" s="75">
        <f>Computations!M24</f>
        <v>0.004861111111111094</v>
      </c>
      <c r="L24" s="75">
        <f>IF(ISTEXT($K24),"",Computations!$E24+K24)</f>
        <v>0.011111111111111094</v>
      </c>
    </row>
    <row r="25" spans="1:12" ht="12.75">
      <c r="A25" s="73">
        <f>Computations!A25</f>
        <v>14</v>
      </c>
      <c r="B25" s="74">
        <f>IF(ISTEXT(C25),"",Computations!B25)</f>
        <v>1</v>
      </c>
      <c r="C25" s="75">
        <f>IF(Computations!F25="closed",Computations!F24+Computations!C25,Computations!F25)</f>
        <v>0.4034722222222221</v>
      </c>
      <c r="D25" s="74">
        <f>IF(ISTEXT(A25),"",Computations!G25)</f>
        <v>1</v>
      </c>
      <c r="E25" s="73">
        <f>Computations!H25</f>
      </c>
      <c r="F25" s="73">
        <f>IF(ISTEXT(Computations!K25),"",Computations!D25)</f>
        <v>6</v>
      </c>
      <c r="G25" s="75">
        <f>IF(Computations!$L25=1,Computations!K25,"")</f>
      </c>
      <c r="H25" s="75">
        <f>IF(ISTEXT($G25),"",$G25+Computations!$E25)</f>
      </c>
      <c r="I25" s="75">
        <f>IF(Computations!$L25=2,Computations!K25,"")</f>
        <v>0.4083333333333332</v>
      </c>
      <c r="J25" s="75">
        <f>IF(ISTEXT($I25),"",$I25+Computations!$E25)</f>
        <v>0.41249999999999987</v>
      </c>
      <c r="K25" s="75">
        <f>Computations!M25</f>
        <v>0.004861111111111094</v>
      </c>
      <c r="L25" s="75">
        <f>IF(ISTEXT($K25),"",Computations!$E25+K25)</f>
        <v>0.00902777777777776</v>
      </c>
    </row>
    <row r="26" spans="1:12" ht="12.75">
      <c r="A26" s="73">
        <f>Computations!A26</f>
        <v>15</v>
      </c>
      <c r="B26" s="74">
        <f>IF(ISTEXT(C26),"",Computations!B26)</f>
        <v>3</v>
      </c>
      <c r="C26" s="75">
        <f>IF(Computations!F26="closed",Computations!F25+Computations!C26,Computations!F26)</f>
        <v>0.40555555555555545</v>
      </c>
      <c r="D26" s="74">
        <f>IF(ISTEXT(A26),"",Computations!G26)</f>
        <v>2</v>
      </c>
      <c r="E26" s="73" t="str">
        <f>Computations!H26</f>
        <v>balk</v>
      </c>
      <c r="F26" s="73">
        <f>IF(ISTEXT(Computations!K26),"",Computations!D26)</f>
      </c>
      <c r="G26" s="75">
        <f>IF(Computations!$L26=1,Computations!K26,"")</f>
      </c>
      <c r="H26" s="75">
        <f>IF(ISTEXT($G26),"",$G26+Computations!$E26)</f>
      </c>
      <c r="I26" s="75">
        <f>IF(Computations!$L26=2,Computations!K26,"")</f>
      </c>
      <c r="J26" s="75">
        <f>IF(ISTEXT($I26),"",$I26+Computations!$E26)</f>
      </c>
      <c r="K26" s="75">
        <f>Computations!M26</f>
      </c>
      <c r="L26" s="75">
        <f>IF(ISTEXT($K26),"",Computations!$E26+K26)</f>
      </c>
    </row>
    <row r="27" ht="12.75">
      <c r="E27" s="42"/>
    </row>
    <row r="28" spans="10:18" ht="12.75">
      <c r="J28" s="7"/>
      <c r="R28" s="7"/>
    </row>
    <row r="29" spans="7:20" ht="12.75">
      <c r="G29" s="72"/>
      <c r="T29" s="49"/>
    </row>
    <row r="31" ht="12.75">
      <c r="R31" s="7"/>
    </row>
    <row r="32" spans="6:18" ht="12.75">
      <c r="F32" s="72"/>
      <c r="R32" s="7"/>
    </row>
    <row r="33" ht="12.75">
      <c r="R33" s="7"/>
    </row>
    <row r="34" ht="12.75">
      <c r="R34" s="7"/>
    </row>
    <row r="35" ht="12.75">
      <c r="R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0" width="10.57421875" style="57" customWidth="1"/>
    <col min="11" max="11" width="11.00390625" style="58" customWidth="1"/>
    <col min="12" max="12" width="9.140625" style="57" customWidth="1"/>
    <col min="13" max="13" width="10.57421875" style="57" customWidth="1"/>
    <col min="14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13" s="8" customFormat="1" ht="12.75">
      <c r="B6" s="53" t="s">
        <v>8</v>
      </c>
      <c r="D6" s="54" t="s">
        <v>11</v>
      </c>
      <c r="G6" s="40" t="s">
        <v>16</v>
      </c>
      <c r="H6" s="40"/>
      <c r="I6" s="40" t="s">
        <v>32</v>
      </c>
      <c r="J6" s="40" t="s">
        <v>32</v>
      </c>
      <c r="K6" s="59"/>
      <c r="L6" s="40"/>
      <c r="M6" s="40"/>
    </row>
    <row r="7" spans="1:14" s="8" customFormat="1" ht="12.75">
      <c r="A7" s="40" t="s">
        <v>33</v>
      </c>
      <c r="B7" s="54" t="s">
        <v>14</v>
      </c>
      <c r="C7" s="40" t="s">
        <v>8</v>
      </c>
      <c r="D7" s="54" t="s">
        <v>14</v>
      </c>
      <c r="E7" s="40" t="s">
        <v>34</v>
      </c>
      <c r="F7" s="40" t="s">
        <v>18</v>
      </c>
      <c r="G7" s="40" t="s">
        <v>19</v>
      </c>
      <c r="H7" s="40"/>
      <c r="I7" s="40" t="s">
        <v>35</v>
      </c>
      <c r="J7" s="40" t="s">
        <v>36</v>
      </c>
      <c r="K7" s="59" t="s">
        <v>37</v>
      </c>
      <c r="L7" s="40" t="s">
        <v>38</v>
      </c>
      <c r="M7" s="40" t="s">
        <v>22</v>
      </c>
      <c r="N7" s="40" t="s">
        <v>11</v>
      </c>
    </row>
    <row r="8" spans="1:14" s="8" customFormat="1" ht="12.75">
      <c r="A8" s="40" t="s">
        <v>24</v>
      </c>
      <c r="B8" s="54" t="s">
        <v>39</v>
      </c>
      <c r="C8" s="40" t="s">
        <v>14</v>
      </c>
      <c r="D8" s="54" t="s">
        <v>39</v>
      </c>
      <c r="E8" s="40" t="s">
        <v>14</v>
      </c>
      <c r="F8" s="40" t="s">
        <v>14</v>
      </c>
      <c r="G8" s="8" t="s">
        <v>25</v>
      </c>
      <c r="H8" s="40" t="s">
        <v>26</v>
      </c>
      <c r="I8" s="40" t="s">
        <v>14</v>
      </c>
      <c r="J8" s="40" t="s">
        <v>14</v>
      </c>
      <c r="K8" s="59" t="s">
        <v>1</v>
      </c>
      <c r="L8" s="40" t="s">
        <v>40</v>
      </c>
      <c r="M8" s="40" t="s">
        <v>41</v>
      </c>
      <c r="N8" s="40" t="s">
        <v>14</v>
      </c>
    </row>
    <row r="9" spans="1:16" s="8" customFormat="1" ht="13.5" thickBot="1">
      <c r="A9" s="41"/>
      <c r="B9" s="55" t="s">
        <v>15</v>
      </c>
      <c r="C9" s="41" t="s">
        <v>42</v>
      </c>
      <c r="D9" s="55" t="s">
        <v>15</v>
      </c>
      <c r="E9" s="41" t="s">
        <v>42</v>
      </c>
      <c r="F9" s="41" t="s">
        <v>29</v>
      </c>
      <c r="G9" s="41" t="s">
        <v>30</v>
      </c>
      <c r="H9" s="41"/>
      <c r="I9" s="41" t="s">
        <v>29</v>
      </c>
      <c r="J9" s="41" t="s">
        <v>29</v>
      </c>
      <c r="K9" s="41" t="s">
        <v>29</v>
      </c>
      <c r="L9" s="41"/>
      <c r="M9" s="41" t="s">
        <v>29</v>
      </c>
      <c r="N9" s="40" t="s">
        <v>93</v>
      </c>
      <c r="P9" s="79" t="s">
        <v>94</v>
      </c>
    </row>
    <row r="10" spans="1:14" ht="12.75">
      <c r="A10" s="57"/>
      <c r="B10" s="60"/>
      <c r="C10" s="57"/>
      <c r="D10" s="60"/>
      <c r="E10" s="57"/>
      <c r="F10" s="57"/>
      <c r="N10" s="57"/>
    </row>
    <row r="11" spans="1:17" ht="12.75">
      <c r="A11" s="76" t="s">
        <v>31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6"/>
      <c r="M11" s="76"/>
      <c r="N11" s="57"/>
      <c r="P11" s="14" t="s">
        <v>95</v>
      </c>
      <c r="Q11" s="14" t="s">
        <v>96</v>
      </c>
    </row>
    <row r="12" spans="1:17" ht="12.75">
      <c r="A12" s="76">
        <f>IF(ISTEXT(F12),"closed",1)</f>
        <v>1</v>
      </c>
      <c r="B12" s="60">
        <f ca="1">VLOOKUP(RAND(),arrival,3)</f>
        <v>5</v>
      </c>
      <c r="C12" s="77">
        <f>B12/1440</f>
        <v>0.003472222222222222</v>
      </c>
      <c r="D12" s="60">
        <f ca="1">VLOOKUP(RAND(),service,3)</f>
        <v>6</v>
      </c>
      <c r="E12" s="77">
        <f>D12/1440</f>
        <v>0.004166666666666667</v>
      </c>
      <c r="F12" s="77">
        <f>IF(ISTEXT(F11),"",IF(F11+C12&gt;=close_time,"closed",F11+C12))</f>
        <v>0.3784722222222222</v>
      </c>
      <c r="G12" s="76">
        <f>COUNTIF($K$11:$K11,"&gt;"&amp;F12)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0.3784722222222222</v>
      </c>
      <c r="J12" s="77">
        <f>IF(ISTEXT(I12),"",MAX(Simulation!J$11:J11,start_time,$F12))</f>
        <v>0.3784722222222222</v>
      </c>
      <c r="K12" s="77">
        <f>IF(ISTEXT(I12),"",MIN(I12:J12))</f>
        <v>0.3784722222222222</v>
      </c>
      <c r="L12" s="76">
        <f>IF(ISTEXT(I12),"",MATCH(K12,I12:J12,0))</f>
        <v>1</v>
      </c>
      <c r="M12" s="77">
        <f>IF(ISTEXT(I12),"",K12-F12)</f>
        <v>0</v>
      </c>
      <c r="N12" s="58">
        <f>IF(H12="balk","",E12)</f>
        <v>0.004166666666666667</v>
      </c>
      <c r="P12" s="80">
        <f>IF(ISNUMBER(SMALL(Simulation!$G$12:Simulation!$H$26,1)),SMALL(Simulation!$G$12:Simulation!$H$26,1),1)</f>
        <v>0.3784722222222222</v>
      </c>
      <c r="Q12" s="80">
        <f>IF(ISNUMBER(SMALL(Simulation!$I$12:Simulation!$J$26,1)),SMALL(Simulation!$I$12:Simulation!$J$26,1),1)</f>
        <v>0.37916666666666665</v>
      </c>
    </row>
    <row r="13" spans="1:17" ht="12.75">
      <c r="A13" s="76">
        <f>IF(ISTEXT(F13),"closed",A12+1)</f>
        <v>2</v>
      </c>
      <c r="B13" s="60">
        <f aca="true" ca="1" t="shared" si="1" ref="B13:B26">VLOOKUP(RAND(),arrival,3)</f>
        <v>1</v>
      </c>
      <c r="C13" s="77">
        <f aca="true" t="shared" si="2" ref="C13:C26">B13/1440</f>
        <v>0.0006944444444444445</v>
      </c>
      <c r="D13" s="60">
        <f aca="true" ca="1" t="shared" si="3" ref="D13:D26">VLOOKUP(RAND(),service,3)</f>
        <v>3</v>
      </c>
      <c r="E13" s="77">
        <f aca="true" t="shared" si="4" ref="E13:E26">D13/1440</f>
        <v>0.0020833333333333333</v>
      </c>
      <c r="F13" s="77">
        <f aca="true" t="shared" si="5" ref="F13:F26">IF(ISTEXT(F12),"",IF(F12+C13&gt;=close_time,"closed",F12+C13))</f>
        <v>0.37916666666666665</v>
      </c>
      <c r="G13" s="76">
        <f>COUNTIF($K$11:$K12,"&gt;"&amp;F13)</f>
        <v>0</v>
      </c>
      <c r="H13" s="76">
        <f t="shared" si="0"/>
      </c>
      <c r="I13" s="77">
        <f>IF(OR(ISTEXT($F13),$H13="balk"),"",MAX(Simulation!H$11:H12,start_time,$F13))</f>
        <v>0.38263888888888886</v>
      </c>
      <c r="J13" s="77">
        <f>IF(ISTEXT(I13),"",MAX(Simulation!J$11:J12,start_time,$F13))</f>
        <v>0.37916666666666665</v>
      </c>
      <c r="K13" s="77">
        <f aca="true" t="shared" si="6" ref="K13:K26">IF(ISTEXT(I13),"",MIN(I13:J13))</f>
        <v>0.37916666666666665</v>
      </c>
      <c r="L13" s="76">
        <f aca="true" t="shared" si="7" ref="L13:L26">IF(ISTEXT(I13),"",MATCH(K13,I13:J13,0))</f>
        <v>2</v>
      </c>
      <c r="M13" s="77">
        <f aca="true" t="shared" si="8" ref="M13:M26">IF(ISTEXT(I13),"",K13-F13)</f>
        <v>0</v>
      </c>
      <c r="N13" s="58">
        <f>IF(H13="balk","",E13)</f>
        <v>0.0020833333333333333</v>
      </c>
      <c r="P13" s="80">
        <f>IF(ISNUMBER(SMALL(Simulation!$G$12:Simulation!$H$26,2)),SMALL(Simulation!$G$12:Simulation!$H$26,2),1)</f>
        <v>0.38263888888888886</v>
      </c>
      <c r="Q13" s="80">
        <f>IF(ISNUMBER(SMALL(Simulation!$I$12:Simulation!$J$26,2)),SMALL(Simulation!$I$12:Simulation!$J$26,2),1)</f>
        <v>0.38125</v>
      </c>
    </row>
    <row r="14" spans="1:17" ht="12.75">
      <c r="A14" s="76">
        <f aca="true" t="shared" si="9" ref="A14:A26">IF(ISTEXT(F14),"closed",A13+1)</f>
        <v>3</v>
      </c>
      <c r="B14" s="60">
        <f ca="1" t="shared" si="1"/>
        <v>5</v>
      </c>
      <c r="C14" s="77">
        <f t="shared" si="2"/>
        <v>0.003472222222222222</v>
      </c>
      <c r="D14" s="60">
        <f ca="1" t="shared" si="3"/>
        <v>9</v>
      </c>
      <c r="E14" s="77">
        <f t="shared" si="4"/>
        <v>0.00625</v>
      </c>
      <c r="F14" s="77">
        <f t="shared" si="5"/>
        <v>0.38263888888888886</v>
      </c>
      <c r="G14" s="76">
        <f>COUNTIF($K$11:$K13,"&gt;"&amp;F14)</f>
        <v>0</v>
      </c>
      <c r="H14" s="76">
        <f t="shared" si="0"/>
      </c>
      <c r="I14" s="77">
        <f>IF(OR(ISTEXT($F14),$H14="balk"),"",MAX(Simulation!H$11:H13,start_time,$F14))</f>
        <v>0.38263888888888886</v>
      </c>
      <c r="J14" s="77">
        <f>IF(ISTEXT(I14),"",MAX(Simulation!J$11:J13,start_time,$F14))</f>
        <v>0.38263888888888886</v>
      </c>
      <c r="K14" s="77">
        <f t="shared" si="6"/>
        <v>0.38263888888888886</v>
      </c>
      <c r="L14" s="76">
        <f t="shared" si="7"/>
        <v>1</v>
      </c>
      <c r="M14" s="77">
        <f t="shared" si="8"/>
        <v>0</v>
      </c>
      <c r="N14" s="58">
        <f>IF(H14="balk","",E14)</f>
        <v>0.00625</v>
      </c>
      <c r="P14" s="80">
        <f>IF(ISNUMBER(SMALL(Simulation!$G$12:Simulation!$H$26,3)),SMALL(Simulation!$G$12:Simulation!$H$26,3),1)</f>
        <v>0.38263888888888886</v>
      </c>
      <c r="Q14" s="80">
        <f>IF(ISNUMBER(SMALL(Simulation!$I$12:Simulation!$J$26,3)),SMALL(Simulation!$I$12:Simulation!$J$26,3),1)</f>
        <v>0.3833333333333333</v>
      </c>
    </row>
    <row r="15" spans="1:17" ht="12.75">
      <c r="A15" s="76">
        <f t="shared" si="9"/>
        <v>4</v>
      </c>
      <c r="B15" s="60">
        <f ca="1" t="shared" si="1"/>
        <v>1</v>
      </c>
      <c r="C15" s="77">
        <f t="shared" si="2"/>
        <v>0.0006944444444444445</v>
      </c>
      <c r="D15" s="60">
        <f ca="1" t="shared" si="3"/>
        <v>9</v>
      </c>
      <c r="E15" s="77">
        <f t="shared" si="4"/>
        <v>0.00625</v>
      </c>
      <c r="F15" s="77">
        <f t="shared" si="5"/>
        <v>0.3833333333333333</v>
      </c>
      <c r="G15" s="76">
        <f>COUNTIF($K$11:$K14,"&gt;"&amp;F15)</f>
        <v>0</v>
      </c>
      <c r="H15" s="76">
        <f t="shared" si="0"/>
      </c>
      <c r="I15" s="77">
        <f>IF(OR(ISTEXT($F15),$H15="balk"),"",MAX(Simulation!H$11:H14,start_time,$F15))</f>
        <v>0.38888888888888884</v>
      </c>
      <c r="J15" s="77">
        <f>IF(ISTEXT(I15),"",MAX(Simulation!J$11:J14,start_time,$F15))</f>
        <v>0.3833333333333333</v>
      </c>
      <c r="K15" s="77">
        <f t="shared" si="6"/>
        <v>0.3833333333333333</v>
      </c>
      <c r="L15" s="76">
        <f t="shared" si="7"/>
        <v>2</v>
      </c>
      <c r="M15" s="77">
        <f t="shared" si="8"/>
        <v>0</v>
      </c>
      <c r="N15" s="58">
        <f>IF(H15="balk","",E15)</f>
        <v>0.00625</v>
      </c>
      <c r="P15" s="80">
        <f>IF(ISNUMBER(SMALL(Simulation!$G$12:Simulation!$H$26,4)),SMALL(Simulation!$G$12:Simulation!$H$26,4),1)</f>
        <v>0.38888888888888884</v>
      </c>
      <c r="Q15" s="80">
        <f>IF(ISNUMBER(SMALL(Simulation!$I$12:Simulation!$J$26,4)),SMALL(Simulation!$I$12:Simulation!$J$26,4),1)</f>
        <v>0.3895833333333333</v>
      </c>
    </row>
    <row r="16" spans="1:17" ht="12.75">
      <c r="A16" s="76">
        <f t="shared" si="9"/>
        <v>5</v>
      </c>
      <c r="B16" s="60">
        <f ca="1" t="shared" si="1"/>
        <v>3</v>
      </c>
      <c r="C16" s="77">
        <f t="shared" si="2"/>
        <v>0.0020833333333333333</v>
      </c>
      <c r="D16" s="60">
        <f ca="1" t="shared" si="3"/>
        <v>9</v>
      </c>
      <c r="E16" s="77">
        <f t="shared" si="4"/>
        <v>0.00625</v>
      </c>
      <c r="F16" s="77">
        <f t="shared" si="5"/>
        <v>0.38541666666666663</v>
      </c>
      <c r="G16" s="76">
        <f>COUNTIF($K$11:$K15,"&gt;"&amp;F16)</f>
        <v>0</v>
      </c>
      <c r="H16" s="76">
        <f t="shared" si="0"/>
      </c>
      <c r="I16" s="77">
        <f>IF(OR(ISTEXT($F16),$H16="balk"),"",MAX(Simulation!H$11:H15,start_time,$F16))</f>
        <v>0.38888888888888884</v>
      </c>
      <c r="J16" s="77">
        <f>IF(ISTEXT(I16),"",MAX(Simulation!J$11:J15,start_time,$F16))</f>
        <v>0.3895833333333333</v>
      </c>
      <c r="K16" s="77">
        <f t="shared" si="6"/>
        <v>0.38888888888888884</v>
      </c>
      <c r="L16" s="76">
        <f t="shared" si="7"/>
        <v>1</v>
      </c>
      <c r="M16" s="77">
        <f t="shared" si="8"/>
        <v>0.00347222222222221</v>
      </c>
      <c r="N16" s="58">
        <f>IF(H16="balk","",E16)</f>
        <v>0.00625</v>
      </c>
      <c r="P16" s="80">
        <f>IF(ISNUMBER(SMALL(Simulation!$G$12:Simulation!$H$26,5)),SMALL(Simulation!$G$12:Simulation!$H$26,5),1)</f>
        <v>0.38888888888888884</v>
      </c>
      <c r="Q16" s="80">
        <f>IF(ISNUMBER(SMALL(Simulation!$I$12:Simulation!$J$26,5)),SMALL(Simulation!$I$12:Simulation!$J$26,5),1)</f>
        <v>0.3895833333333333</v>
      </c>
    </row>
    <row r="17" spans="1:17" ht="12.75">
      <c r="A17" s="76">
        <f t="shared" si="9"/>
        <v>6</v>
      </c>
      <c r="B17" s="60">
        <f ca="1" t="shared" si="1"/>
        <v>3</v>
      </c>
      <c r="C17" s="77">
        <f t="shared" si="2"/>
        <v>0.0020833333333333333</v>
      </c>
      <c r="D17" s="60">
        <f ca="1" t="shared" si="3"/>
        <v>9</v>
      </c>
      <c r="E17" s="77">
        <f t="shared" si="4"/>
        <v>0.00625</v>
      </c>
      <c r="F17" s="77">
        <f t="shared" si="5"/>
        <v>0.38749999999999996</v>
      </c>
      <c r="G17" s="76">
        <f>COUNTIF($K$11:$K16,"&gt;"&amp;F17)</f>
        <v>1</v>
      </c>
      <c r="H17" s="76">
        <f t="shared" si="0"/>
      </c>
      <c r="I17" s="77">
        <f>IF(OR(ISTEXT($F17),$H17="balk"),"",MAX(Simulation!H$11:H16,start_time,$F17))</f>
        <v>0.3951388888888888</v>
      </c>
      <c r="J17" s="77">
        <f>IF(ISTEXT(I17),"",MAX(Simulation!J$11:J16,start_time,$F17))</f>
        <v>0.3895833333333333</v>
      </c>
      <c r="K17" s="77">
        <f t="shared" si="6"/>
        <v>0.3895833333333333</v>
      </c>
      <c r="L17" s="76">
        <f t="shared" si="7"/>
        <v>2</v>
      </c>
      <c r="M17" s="77">
        <f t="shared" si="8"/>
        <v>0.002083333333333326</v>
      </c>
      <c r="N17" s="58">
        <f>IF(H17="balk","",E17)</f>
        <v>0.00625</v>
      </c>
      <c r="P17" s="80">
        <f>IF(ISNUMBER(SMALL(Simulation!$G$12:Simulation!$H$26,6)),SMALL(Simulation!$G$12:Simulation!$H$26,6),1)</f>
        <v>0.3951388888888888</v>
      </c>
      <c r="Q17" s="80">
        <f>IF(ISNUMBER(SMALL(Simulation!$I$12:Simulation!$J$26,6)),SMALL(Simulation!$I$12:Simulation!$J$26,6),1)</f>
        <v>0.39583333333333326</v>
      </c>
    </row>
    <row r="18" spans="1:17" ht="12.75">
      <c r="A18" s="76">
        <f t="shared" si="9"/>
        <v>7</v>
      </c>
      <c r="B18" s="60">
        <f ca="1" t="shared" si="1"/>
        <v>1</v>
      </c>
      <c r="C18" s="77">
        <f t="shared" si="2"/>
        <v>0.0006944444444444445</v>
      </c>
      <c r="D18" s="60">
        <f ca="1" t="shared" si="3"/>
        <v>9</v>
      </c>
      <c r="E18" s="77">
        <f t="shared" si="4"/>
        <v>0.00625</v>
      </c>
      <c r="F18" s="77">
        <f t="shared" si="5"/>
        <v>0.3881944444444444</v>
      </c>
      <c r="G18" s="76">
        <f>COUNTIF($K$11:$K17,"&gt;"&amp;F18)</f>
        <v>2</v>
      </c>
      <c r="H18" s="76" t="str">
        <f t="shared" si="0"/>
        <v>balk</v>
      </c>
      <c r="I18" s="77">
        <f>IF(OR(ISTEXT($F18),$H18="balk"),"",MAX(Simulation!H$11:H17,start_time,$F18))</f>
      </c>
      <c r="J18" s="77">
        <f>IF(ISTEXT(I18),"",MAX(Simulation!J$11:J17,start_time,$F18))</f>
      </c>
      <c r="K18" s="77">
        <f t="shared" si="6"/>
      </c>
      <c r="L18" s="76">
        <f t="shared" si="7"/>
      </c>
      <c r="M18" s="77">
        <f t="shared" si="8"/>
      </c>
      <c r="N18" s="58">
        <f>IF(H18="balk","",E18)</f>
      </c>
      <c r="P18" s="80">
        <f>IF(ISNUMBER(SMALL(Simulation!$G$12:Simulation!$H$26,7)),SMALL(Simulation!$G$12:Simulation!$H$26,7),1)</f>
        <v>0.3951388888888888</v>
      </c>
      <c r="Q18" s="80">
        <f>IF(ISNUMBER(SMALL(Simulation!$I$12:Simulation!$J$26,7)),SMALL(Simulation!$I$12:Simulation!$J$26,7),1)</f>
        <v>0.39583333333333326</v>
      </c>
    </row>
    <row r="19" spans="1:17" ht="12.75">
      <c r="A19" s="76">
        <f t="shared" si="9"/>
        <v>8</v>
      </c>
      <c r="B19" s="60">
        <f ca="1" t="shared" si="1"/>
        <v>10</v>
      </c>
      <c r="C19" s="77">
        <f t="shared" si="2"/>
        <v>0.006944444444444444</v>
      </c>
      <c r="D19" s="60">
        <f ca="1" t="shared" si="3"/>
        <v>9</v>
      </c>
      <c r="E19" s="77">
        <f t="shared" si="4"/>
        <v>0.00625</v>
      </c>
      <c r="F19" s="77">
        <f t="shared" si="5"/>
        <v>0.3951388888888888</v>
      </c>
      <c r="G19" s="76">
        <f>COUNTIF($K$11:$K18,"&gt;"&amp;F19)</f>
        <v>0</v>
      </c>
      <c r="H19" s="76">
        <f t="shared" si="0"/>
      </c>
      <c r="I19" s="77">
        <f>IF(OR(ISTEXT($F19),$H19="balk"),"",MAX(Simulation!H$11:H18,start_time,$F19))</f>
        <v>0.3951388888888888</v>
      </c>
      <c r="J19" s="77">
        <f>IF(ISTEXT(I19),"",MAX(Simulation!J$11:J18,start_time,$F19))</f>
        <v>0.39583333333333326</v>
      </c>
      <c r="K19" s="77">
        <f t="shared" si="6"/>
        <v>0.3951388888888888</v>
      </c>
      <c r="L19" s="76">
        <f t="shared" si="7"/>
        <v>1</v>
      </c>
      <c r="M19" s="77">
        <f t="shared" si="8"/>
        <v>0</v>
      </c>
      <c r="N19" s="58">
        <f>IF(H19="balk","",E19)</f>
        <v>0.00625</v>
      </c>
      <c r="P19" s="80">
        <f>IF(ISNUMBER(SMALL(Simulation!$G$12:Simulation!$H$26,8)),SMALL(Simulation!$G$12:Simulation!$H$26,8),1)</f>
        <v>0.4013888888888888</v>
      </c>
      <c r="Q19" s="80">
        <f>IF(ISNUMBER(SMALL(Simulation!$I$12:Simulation!$J$26,8)),SMALL(Simulation!$I$12:Simulation!$J$26,8),1)</f>
        <v>0.3979166666666666</v>
      </c>
    </row>
    <row r="20" spans="1:17" ht="12.75">
      <c r="A20" s="76">
        <f t="shared" si="9"/>
        <v>9</v>
      </c>
      <c r="B20" s="60">
        <f ca="1" t="shared" si="1"/>
        <v>1</v>
      </c>
      <c r="C20" s="77">
        <f t="shared" si="2"/>
        <v>0.0006944444444444445</v>
      </c>
      <c r="D20" s="60">
        <f ca="1" t="shared" si="3"/>
        <v>3</v>
      </c>
      <c r="E20" s="77">
        <f t="shared" si="4"/>
        <v>0.0020833333333333333</v>
      </c>
      <c r="F20" s="77">
        <f t="shared" si="5"/>
        <v>0.39583333333333326</v>
      </c>
      <c r="G20" s="76">
        <f>COUNTIF($K$11:$K19,"&gt;"&amp;F20)</f>
        <v>0</v>
      </c>
      <c r="H20" s="76">
        <f t="shared" si="0"/>
      </c>
      <c r="I20" s="77">
        <f>IF(OR(ISTEXT($F20),$H20="balk"),"",MAX(Simulation!H$11:H19,start_time,$F20))</f>
        <v>0.4013888888888888</v>
      </c>
      <c r="J20" s="77">
        <f>IF(ISTEXT(I20),"",MAX(Simulation!J$11:J19,start_time,$F20))</f>
        <v>0.39583333333333326</v>
      </c>
      <c r="K20" s="77">
        <f t="shared" si="6"/>
        <v>0.39583333333333326</v>
      </c>
      <c r="L20" s="76">
        <f t="shared" si="7"/>
        <v>2</v>
      </c>
      <c r="M20" s="77">
        <f t="shared" si="8"/>
        <v>0</v>
      </c>
      <c r="N20" s="58">
        <f>IF(H20="balk","",E20)</f>
        <v>0.0020833333333333333</v>
      </c>
      <c r="P20" s="80">
        <f>IF(ISNUMBER(SMALL(Simulation!$G$12:Simulation!$H$26,9)),SMALL(Simulation!$G$12:Simulation!$H$26,9),1)</f>
        <v>0.4013888888888888</v>
      </c>
      <c r="Q20" s="80">
        <f>IF(ISNUMBER(SMALL(Simulation!$I$12:Simulation!$J$26,9)),SMALL(Simulation!$I$12:Simulation!$J$26,9),1)</f>
        <v>0.3979166666666666</v>
      </c>
    </row>
    <row r="21" spans="1:17" ht="12.75">
      <c r="A21" s="76">
        <f t="shared" si="9"/>
        <v>10</v>
      </c>
      <c r="B21" s="60">
        <f ca="1" t="shared" si="1"/>
        <v>1</v>
      </c>
      <c r="C21" s="77">
        <f t="shared" si="2"/>
        <v>0.0006944444444444445</v>
      </c>
      <c r="D21" s="60">
        <f ca="1" t="shared" si="3"/>
        <v>6</v>
      </c>
      <c r="E21" s="77">
        <f t="shared" si="4"/>
        <v>0.004166666666666667</v>
      </c>
      <c r="F21" s="77">
        <f t="shared" si="5"/>
        <v>0.3965277777777777</v>
      </c>
      <c r="G21" s="76">
        <f>COUNTIF($K$11:$K20,"&gt;"&amp;F21)</f>
        <v>0</v>
      </c>
      <c r="H21" s="76">
        <f t="shared" si="0"/>
      </c>
      <c r="I21" s="77">
        <f>IF(OR(ISTEXT($F21),$H21="balk"),"",MAX(Simulation!H$11:H20,start_time,$F21))</f>
        <v>0.4013888888888888</v>
      </c>
      <c r="J21" s="77">
        <f>IF(ISTEXT(I21),"",MAX(Simulation!J$11:J20,start_time,$F21))</f>
        <v>0.3979166666666666</v>
      </c>
      <c r="K21" s="77">
        <f t="shared" si="6"/>
        <v>0.3979166666666666</v>
      </c>
      <c r="L21" s="76">
        <f t="shared" si="7"/>
        <v>2</v>
      </c>
      <c r="M21" s="77">
        <f t="shared" si="8"/>
        <v>0.001388888888888884</v>
      </c>
      <c r="N21" s="58">
        <f>IF(H21="balk","",E21)</f>
        <v>0.004166666666666667</v>
      </c>
      <c r="P21" s="80">
        <f>IF(ISNUMBER(SMALL(Simulation!$G$12:Simulation!$H$26,10)),SMALL(Simulation!$G$12:Simulation!$H$26,10),1)</f>
        <v>0.4076388888888888</v>
      </c>
      <c r="Q21" s="80">
        <f>IF(ISNUMBER(SMALL(Simulation!$I$12:Simulation!$J$26,10)),SMALL(Simulation!$I$12:Simulation!$J$26,10),1)</f>
        <v>0.40208333333333324</v>
      </c>
    </row>
    <row r="22" spans="1:17" ht="12.75">
      <c r="A22" s="76">
        <f t="shared" si="9"/>
        <v>11</v>
      </c>
      <c r="B22" s="60">
        <f ca="1" t="shared" si="1"/>
        <v>3</v>
      </c>
      <c r="C22" s="77">
        <f t="shared" si="2"/>
        <v>0.0020833333333333333</v>
      </c>
      <c r="D22" s="60">
        <f ca="1" t="shared" si="3"/>
        <v>9</v>
      </c>
      <c r="E22" s="77">
        <f t="shared" si="4"/>
        <v>0.00625</v>
      </c>
      <c r="F22" s="77">
        <f t="shared" si="5"/>
        <v>0.398611111111111</v>
      </c>
      <c r="G22" s="76">
        <f>COUNTIF($K$11:$K21,"&gt;"&amp;F22)</f>
        <v>0</v>
      </c>
      <c r="H22" s="76">
        <f t="shared" si="0"/>
      </c>
      <c r="I22" s="77">
        <f>IF(OR(ISTEXT($F22),$H22="balk"),"",MAX(Simulation!H$11:H21,start_time,$F22))</f>
        <v>0.4013888888888888</v>
      </c>
      <c r="J22" s="77">
        <f>IF(ISTEXT(I22),"",MAX(Simulation!J$11:J21,start_time,$F22))</f>
        <v>0.40208333333333324</v>
      </c>
      <c r="K22" s="77">
        <f t="shared" si="6"/>
        <v>0.4013888888888888</v>
      </c>
      <c r="L22" s="76">
        <f t="shared" si="7"/>
        <v>1</v>
      </c>
      <c r="M22" s="77">
        <f t="shared" si="8"/>
        <v>0.002777777777777768</v>
      </c>
      <c r="N22" s="58">
        <f>IF(H22="balk","",E22)</f>
        <v>0.00625</v>
      </c>
      <c r="P22" s="80">
        <f>IF(ISNUMBER(SMALL(Simulation!$G$12:Simulation!$H$26,11)),SMALL(Simulation!$G$12:Simulation!$H$26,11),1)</f>
        <v>0.4076388888888888</v>
      </c>
      <c r="Q22" s="80">
        <f>IF(ISNUMBER(SMALL(Simulation!$I$12:Simulation!$J$26,11)),SMALL(Simulation!$I$12:Simulation!$J$26,11),1)</f>
        <v>0.40208333333333324</v>
      </c>
    </row>
    <row r="23" spans="1:17" ht="12.75">
      <c r="A23" s="76">
        <f t="shared" si="9"/>
        <v>12</v>
      </c>
      <c r="B23" s="60">
        <f ca="1" t="shared" si="1"/>
        <v>1</v>
      </c>
      <c r="C23" s="77">
        <f t="shared" si="2"/>
        <v>0.0006944444444444445</v>
      </c>
      <c r="D23" s="60">
        <f ca="1" t="shared" si="3"/>
        <v>9</v>
      </c>
      <c r="E23" s="77">
        <f t="shared" si="4"/>
        <v>0.00625</v>
      </c>
      <c r="F23" s="77">
        <f t="shared" si="5"/>
        <v>0.39930555555555547</v>
      </c>
      <c r="G23" s="76">
        <f>COUNTIF($K$11:$K22,"&gt;"&amp;F23)</f>
        <v>1</v>
      </c>
      <c r="H23" s="76">
        <f t="shared" si="0"/>
      </c>
      <c r="I23" s="77">
        <f>IF(OR(ISTEXT($F23),$H23="balk"),"",MAX(Simulation!H$11:H22,start_time,$F23))</f>
        <v>0.4076388888888888</v>
      </c>
      <c r="J23" s="77">
        <f>IF(ISTEXT(I23),"",MAX(Simulation!J$11:J22,start_time,$F23))</f>
        <v>0.40208333333333324</v>
      </c>
      <c r="K23" s="77">
        <f t="shared" si="6"/>
        <v>0.40208333333333324</v>
      </c>
      <c r="L23" s="76">
        <f t="shared" si="7"/>
        <v>2</v>
      </c>
      <c r="M23" s="77">
        <f t="shared" si="8"/>
        <v>0.002777777777777768</v>
      </c>
      <c r="N23" s="58">
        <f>IF(H23="balk","",E23)</f>
        <v>0.00625</v>
      </c>
      <c r="P23" s="80">
        <f>IF(ISNUMBER(SMALL(Simulation!$G$12:Simulation!$H$26,12)),SMALL(Simulation!$G$12:Simulation!$H$26,12),1)</f>
        <v>0.41388888888888875</v>
      </c>
      <c r="Q23" s="80">
        <f>IF(ISNUMBER(SMALL(Simulation!$I$12:Simulation!$J$26,12)),SMALL(Simulation!$I$12:Simulation!$J$26,12),1)</f>
        <v>0.4083333333333332</v>
      </c>
    </row>
    <row r="24" spans="1:17" ht="12.75">
      <c r="A24" s="76">
        <f t="shared" si="9"/>
        <v>13</v>
      </c>
      <c r="B24" s="60">
        <f ca="1" t="shared" si="1"/>
        <v>5</v>
      </c>
      <c r="C24" s="77">
        <f t="shared" si="2"/>
        <v>0.003472222222222222</v>
      </c>
      <c r="D24" s="60">
        <f ca="1" t="shared" si="3"/>
        <v>9</v>
      </c>
      <c r="E24" s="77">
        <f t="shared" si="4"/>
        <v>0.00625</v>
      </c>
      <c r="F24" s="77">
        <f t="shared" si="5"/>
        <v>0.4027777777777777</v>
      </c>
      <c r="G24" s="76">
        <f>COUNTIF($K$11:$K23,"&gt;"&amp;F24)</f>
        <v>0</v>
      </c>
      <c r="H24" s="76">
        <f t="shared" si="0"/>
      </c>
      <c r="I24" s="77">
        <f>IF(OR(ISTEXT($F24),$H24="balk"),"",MAX(Simulation!H$11:H23,start_time,$F24))</f>
        <v>0.4076388888888888</v>
      </c>
      <c r="J24" s="77">
        <f>IF(ISTEXT(I24),"",MAX(Simulation!J$11:J23,start_time,$F24))</f>
        <v>0.4083333333333332</v>
      </c>
      <c r="K24" s="77">
        <f t="shared" si="6"/>
        <v>0.4076388888888888</v>
      </c>
      <c r="L24" s="76">
        <f t="shared" si="7"/>
        <v>1</v>
      </c>
      <c r="M24" s="77">
        <f t="shared" si="8"/>
        <v>0.004861111111111094</v>
      </c>
      <c r="N24" s="58">
        <f>IF(H24="balk","",E24)</f>
        <v>0.00625</v>
      </c>
      <c r="P24" s="80">
        <f>IF(ISNUMBER(SMALL(Simulation!$G$12:Simulation!$H$26,13)),SMALL(Simulation!$G$12:Simulation!$H$26,13),1)</f>
        <v>1</v>
      </c>
      <c r="Q24" s="80">
        <f>IF(ISNUMBER(SMALL(Simulation!$I$12:Simulation!$J$26,13)),SMALL(Simulation!$I$12:Simulation!$J$26,13),1)</f>
        <v>0.4083333333333332</v>
      </c>
    </row>
    <row r="25" spans="1:17" ht="12.75">
      <c r="A25" s="76">
        <f t="shared" si="9"/>
        <v>14</v>
      </c>
      <c r="B25" s="60">
        <f ca="1" t="shared" si="1"/>
        <v>1</v>
      </c>
      <c r="C25" s="77">
        <f t="shared" si="2"/>
        <v>0.0006944444444444445</v>
      </c>
      <c r="D25" s="60">
        <f ca="1" t="shared" si="3"/>
        <v>6</v>
      </c>
      <c r="E25" s="77">
        <f t="shared" si="4"/>
        <v>0.004166666666666667</v>
      </c>
      <c r="F25" s="77">
        <f t="shared" si="5"/>
        <v>0.4034722222222221</v>
      </c>
      <c r="G25" s="76">
        <f>COUNTIF($K$11:$K24,"&gt;"&amp;F25)</f>
        <v>1</v>
      </c>
      <c r="H25" s="76">
        <f t="shared" si="0"/>
      </c>
      <c r="I25" s="77">
        <f>IF(OR(ISTEXT($F25),$H25="balk"),"",MAX(Simulation!H$11:H24,start_time,$F25))</f>
        <v>0.41388888888888875</v>
      </c>
      <c r="J25" s="77">
        <f>IF(ISTEXT(I25),"",MAX(Simulation!J$11:J24,start_time,$F25))</f>
        <v>0.4083333333333332</v>
      </c>
      <c r="K25" s="77">
        <f t="shared" si="6"/>
        <v>0.4083333333333332</v>
      </c>
      <c r="L25" s="76">
        <f t="shared" si="7"/>
        <v>2</v>
      </c>
      <c r="M25" s="77">
        <f t="shared" si="8"/>
        <v>0.004861111111111094</v>
      </c>
      <c r="N25" s="58">
        <f>IF(H25="balk","",E25)</f>
        <v>0.004166666666666667</v>
      </c>
      <c r="P25" s="80">
        <f>IF(ISNUMBER(SMALL(Simulation!$G$12:Simulation!$H$26,14)),SMALL(Simulation!$G$12:Simulation!$H$26,14),1)</f>
        <v>1</v>
      </c>
      <c r="Q25" s="80">
        <f>IF(ISNUMBER(SMALL(Simulation!$I$12:Simulation!$J$26,14)),SMALL(Simulation!$I$12:Simulation!$J$26,14),1)</f>
        <v>0.41249999999999987</v>
      </c>
    </row>
    <row r="26" spans="1:17" ht="12.75">
      <c r="A26" s="76">
        <f t="shared" si="9"/>
        <v>15</v>
      </c>
      <c r="B26" s="60">
        <f ca="1" t="shared" si="1"/>
        <v>3</v>
      </c>
      <c r="C26" s="77">
        <f t="shared" si="2"/>
        <v>0.0020833333333333333</v>
      </c>
      <c r="D26" s="60">
        <f ca="1" t="shared" si="3"/>
        <v>9</v>
      </c>
      <c r="E26" s="77">
        <f t="shared" si="4"/>
        <v>0.00625</v>
      </c>
      <c r="F26" s="77">
        <f t="shared" si="5"/>
        <v>0.40555555555555545</v>
      </c>
      <c r="G26" s="76">
        <f>COUNTIF($K$11:$K25,"&gt;"&amp;F26)</f>
        <v>2</v>
      </c>
      <c r="H26" s="76" t="str">
        <f t="shared" si="0"/>
        <v>balk</v>
      </c>
      <c r="I26" s="77">
        <f>IF(OR(ISTEXT($F26),$H26="balk"),"",MAX(Simulation!H$11:H25,start_time,$F26))</f>
      </c>
      <c r="J26" s="77">
        <f>IF(ISTEXT(I26),"",MAX(Simulation!J$11:J25,start_time,$F26))</f>
      </c>
      <c r="K26" s="77">
        <f t="shared" si="6"/>
      </c>
      <c r="L26" s="76">
        <f t="shared" si="7"/>
      </c>
      <c r="M26" s="77">
        <f t="shared" si="8"/>
      </c>
      <c r="N26" s="58">
        <f>IF(H26="balk","",E26)</f>
      </c>
      <c r="P26" s="80">
        <f>IF(ISNUMBER(SMALL(Simulation!$G$12:Simulation!$H$26,15)),SMALL(Simulation!$G$12:Simulation!$H$26,15),1)</f>
        <v>1</v>
      </c>
      <c r="Q26" s="80">
        <f>IF(ISNUMBER(SMALL(Simulation!$I$12:Simulation!$J$26,15)),SMALL(Simulation!$I$12:Simulation!$J$26,15),1)</f>
        <v>1</v>
      </c>
    </row>
    <row r="27" spans="16:17" ht="12.75">
      <c r="P27" s="80">
        <f>IF(ISNUMBER(SMALL(Simulation!$G$12:Simulation!$H$26,16)),SMALL(Simulation!$G$12:Simulation!$H$26,16),1)</f>
        <v>1</v>
      </c>
      <c r="Q27" s="80">
        <f>IF(ISNUMBER(SMALL(Simulation!$I$12:Simulation!$J$26,16)),SMALL(Simulation!$I$12:Simulation!$J$26,16),1)</f>
        <v>1</v>
      </c>
    </row>
    <row r="28" spans="6:17" ht="12.75">
      <c r="F28" s="62"/>
      <c r="G28" s="63"/>
      <c r="I28" s="58"/>
      <c r="J28" s="58"/>
      <c r="K28" s="64"/>
      <c r="P28" s="80">
        <f>IF(ISNUMBER(SMALL(Simulation!$G$12:Simulation!$H$26,17)),SMALL(Simulation!$G$12:Simulation!$H$26,17),1)</f>
        <v>1</v>
      </c>
      <c r="Q28" s="80">
        <f>IF(ISNUMBER(SMALL(Simulation!$I$12:Simulation!$J$26,17)),SMALL(Simulation!$I$12:Simulation!$J$26,17),1)</f>
        <v>1</v>
      </c>
    </row>
    <row r="29" spans="16:17" ht="12.75">
      <c r="P29" s="80">
        <f>IF(ISNUMBER(SMALL(Simulation!$G$12:Simulation!$H$26,18)),SMALL(Simulation!$G$12:Simulation!$H$26,18),1)</f>
        <v>1</v>
      </c>
      <c r="Q29" s="80">
        <f>IF(ISNUMBER(SMALL(Simulation!$I$12:Simulation!$J$26,18)),SMALL(Simulation!$I$12:Simulation!$J$26,18),1)</f>
        <v>1</v>
      </c>
    </row>
    <row r="30" spans="9:17" ht="12.75">
      <c r="I30" s="65"/>
      <c r="P30" s="80">
        <f>IF(ISNUMBER(SMALL(Simulation!$G$12:Simulation!$H$26,19)),SMALL(Simulation!$G$12:Simulation!$H$26,19),1)</f>
        <v>1</v>
      </c>
      <c r="Q30" s="80">
        <f>IF(ISNUMBER(SMALL(Simulation!$I$12:Simulation!$J$26,19)),SMALL(Simulation!$I$12:Simulation!$J$26,19),1)</f>
        <v>1</v>
      </c>
    </row>
    <row r="31" spans="16:17" ht="12.75">
      <c r="P31" s="80">
        <f>IF(ISNUMBER(SMALL(Simulation!$G$12:Simulation!$H$26,20)),SMALL(Simulation!$G$12:Simulation!$H$26,20),1)</f>
        <v>1</v>
      </c>
      <c r="Q31" s="80">
        <f>IF(ISNUMBER(SMALL(Simulation!$I$12:Simulation!$J$26,20)),SMALL(Simulation!$I$12:Simulation!$J$26,20),1)</f>
        <v>1</v>
      </c>
    </row>
    <row r="32" spans="3:17" ht="12.75">
      <c r="C32" s="43"/>
      <c r="D32" s="66"/>
      <c r="P32" s="80">
        <f>IF(ISNUMBER(SMALL(Simulation!$G$12:Simulation!$H$26,21)),SMALL(Simulation!$G$12:Simulation!$H$26,21),1)</f>
        <v>1</v>
      </c>
      <c r="Q32" s="80">
        <f>IF(ISNUMBER(SMALL(Simulation!$I$12:Simulation!$J$26,21)),SMALL(Simulation!$I$12:Simulation!$J$26,21),1)</f>
        <v>1</v>
      </c>
    </row>
    <row r="33" spans="3:17" ht="12.75">
      <c r="C33" s="43"/>
      <c r="D33" s="66"/>
      <c r="P33" s="80">
        <f>IF(ISNUMBER(SMALL(Simulation!$G$12:Simulation!$H$26,22)),SMALL(Simulation!$G$12:Simulation!$H$26,22),1)</f>
        <v>1</v>
      </c>
      <c r="Q33" s="80">
        <f>IF(ISNUMBER(SMALL(Simulation!$I$12:Simulation!$J$26,22)),SMALL(Simulation!$I$12:Simulation!$J$26,22),1)</f>
        <v>1</v>
      </c>
    </row>
    <row r="34" spans="3:17" ht="12.75">
      <c r="C34" s="43"/>
      <c r="D34" s="66"/>
      <c r="P34" s="80">
        <f>IF(ISNUMBER(SMALL(Simulation!$G$12:Simulation!$H$26,23)),SMALL(Simulation!$G$12:Simulation!$H$26,23),1)</f>
        <v>1</v>
      </c>
      <c r="Q34" s="80">
        <f>IF(ISNUMBER(SMALL(Simulation!$I$12:Simulation!$J$26,23)),SMALL(Simulation!$I$12:Simulation!$J$26,23),1)</f>
        <v>1</v>
      </c>
    </row>
    <row r="35" spans="3:17" ht="12.75">
      <c r="C35" s="43"/>
      <c r="D35" s="66"/>
      <c r="P35" s="80">
        <f>IF(ISNUMBER(SMALL(Simulation!$G$12:Simulation!$H$26,24)),SMALL(Simulation!$G$12:Simulation!$H$26,24),1)</f>
        <v>1</v>
      </c>
      <c r="Q35" s="80">
        <f>IF(ISNUMBER(SMALL(Simulation!$I$12:Simulation!$J$26,24)),SMALL(Simulation!$I$12:Simulation!$J$26,24),1)</f>
        <v>1</v>
      </c>
    </row>
    <row r="36" spans="3:17" ht="12.75">
      <c r="C36" s="43"/>
      <c r="D36" s="66"/>
      <c r="P36" s="80">
        <f>IF(ISNUMBER(SMALL(Simulation!$G$12:Simulation!$H$26,25)),SMALL(Simulation!$G$12:Simulation!$H$26,25),1)</f>
        <v>1</v>
      </c>
      <c r="Q36" s="80">
        <f>IF(ISNUMBER(SMALL(Simulation!$I$12:Simulation!$J$26,25)),SMALL(Simulation!$I$12:Simulation!$J$26,25),1)</f>
        <v>1</v>
      </c>
    </row>
    <row r="37" spans="16:17" ht="12.75">
      <c r="P37" s="80">
        <f>IF(ISNUMBER(SMALL(Simulation!$G$12:Simulation!$H$26,26)),SMALL(Simulation!$G$12:Simulation!$H$26,26),1)</f>
        <v>1</v>
      </c>
      <c r="Q37" s="80">
        <f>IF(ISNUMBER(SMALL(Simulation!$I$12:Simulation!$J$26,26)),SMALL(Simulation!$I$12:Simulation!$J$26,26),1)</f>
        <v>1</v>
      </c>
    </row>
    <row r="38" spans="16:17" ht="12.75">
      <c r="P38" s="80">
        <f>IF(ISNUMBER(SMALL(Simulation!$G$12:Simulation!$H$26,27)),SMALL(Simulation!$G$12:Simulation!$H$26,27),1)</f>
        <v>1</v>
      </c>
      <c r="Q38" s="80">
        <f>IF(ISNUMBER(SMALL(Simulation!$I$12:Simulation!$J$26,27)),SMALL(Simulation!$I$12:Simulation!$J$26,27),1)</f>
        <v>1</v>
      </c>
    </row>
    <row r="39" spans="16:17" ht="12.75">
      <c r="P39" s="80">
        <f>IF(ISNUMBER(SMALL(Simulation!$G$12:Simulation!$H$26,28)),SMALL(Simulation!$G$12:Simulation!$H$26,28),1)</f>
        <v>1</v>
      </c>
      <c r="Q39" s="80">
        <f>IF(ISNUMBER(SMALL(Simulation!$I$12:Simulation!$J$26,28)),SMALL(Simulation!$I$12:Simulation!$J$26,28),1)</f>
        <v>1</v>
      </c>
    </row>
    <row r="40" spans="16:17" ht="12.75">
      <c r="P40" s="80">
        <f>IF(ISNUMBER(SMALL(Simulation!$G$12:Simulation!$H$26,29)),SMALL(Simulation!$G$12:Simulation!$H$26,29),1)</f>
        <v>1</v>
      </c>
      <c r="Q40" s="80">
        <f>IF(ISNUMBER(SMALL(Simulation!$I$12:Simulation!$J$26,29)),SMALL(Simulation!$I$12:Simulation!$J$26,29),1)</f>
        <v>1</v>
      </c>
    </row>
    <row r="41" spans="16:17" ht="12.75">
      <c r="P41" s="80">
        <f>IF(ISNUMBER(SMALL(Simulation!$G$12:Simulation!$H$26,30)),SMALL(Simulation!$G$12:Simulation!$H$26,30),1)</f>
        <v>1</v>
      </c>
      <c r="Q41" s="80">
        <f>IF(ISNUMBER(SMALL(Simulation!$I$12:Simulation!$J$26,30)),SMALL(Simulation!$I$12:Simulation!$J$26,30),1)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74</v>
      </c>
    </row>
    <row r="2" ht="15.75">
      <c r="A2" s="1" t="s">
        <v>43</v>
      </c>
    </row>
    <row r="3" ht="12.75" customHeight="1">
      <c r="B3" s="45" t="s">
        <v>44</v>
      </c>
    </row>
    <row r="4" ht="12.75" customHeight="1">
      <c r="B4" s="45"/>
    </row>
    <row r="5" ht="12.75">
      <c r="A5" s="46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10" ht="12.75">
      <c r="A10" s="46" t="s">
        <v>49</v>
      </c>
    </row>
    <row r="11" ht="12.75">
      <c r="A11" t="s">
        <v>50</v>
      </c>
    </row>
    <row r="12" ht="12.75">
      <c r="A12" t="s">
        <v>75</v>
      </c>
    </row>
    <row r="13" ht="12.75">
      <c r="A13" t="s">
        <v>51</v>
      </c>
    </row>
    <row r="14" ht="12.75">
      <c r="A14" t="s">
        <v>52</v>
      </c>
    </row>
    <row r="15" ht="12.75">
      <c r="A15" t="s">
        <v>53</v>
      </c>
    </row>
    <row r="16" ht="12.75">
      <c r="A16" t="s">
        <v>54</v>
      </c>
    </row>
    <row r="17" ht="12.75">
      <c r="A17" t="s">
        <v>55</v>
      </c>
    </row>
    <row r="18" ht="12.75">
      <c r="A18" t="s">
        <v>76</v>
      </c>
    </row>
    <row r="19" ht="12.75">
      <c r="A19" t="s">
        <v>77</v>
      </c>
    </row>
    <row r="20" ht="12.75">
      <c r="A20" t="s">
        <v>56</v>
      </c>
    </row>
    <row r="22" ht="12.75">
      <c r="A22" s="46" t="s">
        <v>57</v>
      </c>
    </row>
    <row r="23" ht="12.75">
      <c r="A23" t="s">
        <v>78</v>
      </c>
    </row>
    <row r="24" ht="12.75">
      <c r="A24" t="s">
        <v>79</v>
      </c>
    </row>
    <row r="25" ht="12.75">
      <c r="A25" t="s">
        <v>75</v>
      </c>
    </row>
    <row r="26" ht="12.75">
      <c r="A26" t="s">
        <v>58</v>
      </c>
    </row>
    <row r="27" ht="12.75">
      <c r="A27" t="s">
        <v>59</v>
      </c>
    </row>
    <row r="29" ht="12.75">
      <c r="A29" s="46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  <row r="34" ht="12.75">
      <c r="A34" s="46" t="s">
        <v>64</v>
      </c>
    </row>
    <row r="35" ht="12.75">
      <c r="A35" t="s">
        <v>80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3" ht="12.75">
      <c r="A43" s="46" t="s">
        <v>68</v>
      </c>
    </row>
    <row r="44" ht="12.75">
      <c r="A44" t="s">
        <v>84</v>
      </c>
    </row>
    <row r="45" ht="12.75">
      <c r="A45" t="s">
        <v>69</v>
      </c>
    </row>
    <row r="46" ht="12.75">
      <c r="A46" t="s">
        <v>70</v>
      </c>
    </row>
    <row r="47" ht="12.75">
      <c r="A47" t="s">
        <v>71</v>
      </c>
    </row>
    <row r="48" ht="12.75">
      <c r="A48" t="s">
        <v>72</v>
      </c>
    </row>
    <row r="50" ht="12.75">
      <c r="A50" s="46" t="s">
        <v>73</v>
      </c>
    </row>
    <row r="51" ht="12.75">
      <c r="A51" t="s">
        <v>85</v>
      </c>
    </row>
    <row r="52" ht="12.75">
      <c r="A52" t="s">
        <v>86</v>
      </c>
    </row>
    <row r="54" ht="12.75">
      <c r="A54" s="78" t="s">
        <v>87</v>
      </c>
    </row>
    <row r="55" ht="12.75">
      <c r="A55" t="s">
        <v>88</v>
      </c>
    </row>
    <row r="56" ht="12.75">
      <c r="A56" t="s">
        <v>89</v>
      </c>
    </row>
    <row r="57" ht="12.75">
      <c r="A57" t="s">
        <v>90</v>
      </c>
    </row>
    <row r="58" ht="12.75">
      <c r="A58" t="s">
        <v>91</v>
      </c>
    </row>
    <row r="60" ht="12.75">
      <c r="A60" s="47" t="s">
        <v>92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2001-03-19T00:11:52Z</dcterms:created>
  <dcterms:modified xsi:type="dcterms:W3CDTF">2001-09-17T15:21:31Z</dcterms:modified>
  <cp:category/>
  <cp:version/>
  <cp:contentType/>
  <cp:contentStatus/>
</cp:coreProperties>
</file>