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<sst xmlns="http://schemas.openxmlformats.org/spreadsheetml/2006/main" count="143" uniqueCount="94">
  <si>
    <t>Spreadsheet Simulation Queueing Engine:  1 Server with Balking</t>
  </si>
  <si>
    <t>Start Time</t>
  </si>
  <si>
    <t>Close Time</t>
  </si>
  <si>
    <t>Balk if queue length is or exceeds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</si>
  <si>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</si>
  <si>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</si>
  <si>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</si>
  <si>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</si>
  <si>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</si>
  <si>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</si>
  <si>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</si>
  <si>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</si>
  <si>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</si>
  <si>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</si>
  <si>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</si>
  <si>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</si>
  <si>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</si>
  <si>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</si>
  <si>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</si>
  <si>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</si>
  <si>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 xml:space="preserve">Server #1 </t>
  </si>
  <si>
    <t>Wait</t>
  </si>
  <si>
    <t>Total</t>
  </si>
  <si>
    <t>#</t>
  </si>
  <si>
    <t>at Arrival</t>
  </si>
  <si>
    <t>Balk?</t>
  </si>
  <si>
    <t>Start</t>
  </si>
  <si>
    <t>End</t>
  </si>
  <si>
    <t>(hr:min)</t>
  </si>
  <si>
    <t>(# cust.)</t>
  </si>
  <si>
    <t>start</t>
  </si>
  <si>
    <t>Potential</t>
  </si>
  <si>
    <t>Cust.</t>
  </si>
  <si>
    <t xml:space="preserve">Service </t>
  </si>
  <si>
    <t>#1 Start</t>
  </si>
  <si>
    <t>Actual</t>
  </si>
  <si>
    <t>Next</t>
  </si>
  <si>
    <t>User Input</t>
  </si>
  <si>
    <t>Server</t>
  </si>
  <si>
    <t>time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</si>
  <si>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</si>
  <si>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</si>
  <si>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</si>
  <si>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</si>
  <si>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</si>
  <si>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</si>
  <si>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</si>
  <si>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</si>
  <si>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</si>
  <si>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</si>
  <si>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</si>
  <si>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</si>
  <si>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</si>
  <si>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</si>
  <si>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</si>
  <si>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</si>
  <si>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</si>
  <si>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</si>
  <si>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</si>
  <si>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</si>
  <si>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</si>
  <si>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</si>
  <si>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</si>
  <si>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</si>
  <si>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</si>
  <si>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</si>
  <si>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</si>
  <si>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</si>
  <si>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</si>
  <si>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</si>
  <si>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</si>
  <si>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</si>
  <si>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</si>
  <si>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</si>
  <si>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</si>
  <si>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</si>
  <si>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</si>
  <si>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</si>
  <si>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</si>
  <si>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</si>
  <si>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</si>
  <si>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</si>
  <si>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</si>
  <si>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</si>
  <si>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</si>
  <si>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</si>
  <si>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</si>
  <si>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</si>
  <si>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</si>
  <si>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</si>
  <si>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</si>
  <si>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Balks)</t>
  </si>
  <si>
    <t>Time of Change in Server Activity</t>
  </si>
  <si>
    <t>Server 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</si>
</sst>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2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/>
      <protection locked="0"/>
    </xf>
    <xf numFmtId="20" fontId="1" fillId="0" borderId="0" xfId="0" applyNumberFormat="1" applyFont="1" applyBorder="1" applyAlignment="1" applyProtection="1">
      <alignment horizontal="centerContinuous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0.3784722222222222</c:v>
                </c:pt>
                <c:pt idx="1">
                  <c:v>0.37916666666666665</c:v>
                </c:pt>
                <c:pt idx="2">
                  <c:v>0.3798611111111111</c:v>
                </c:pt>
                <c:pt idx="3">
                  <c:v>0.38055555555555554</c:v>
                </c:pt>
                <c:pt idx="4">
                  <c:v>0.38125</c:v>
                </c:pt>
                <c:pt idx="5">
                  <c:v>0.3833333333333333</c:v>
                </c:pt>
                <c:pt idx="6">
                  <c:v>0.38402777777777775</c:v>
                </c:pt>
                <c:pt idx="7">
                  <c:v>0.3847222222222222</c:v>
                </c:pt>
                <c:pt idx="8">
                  <c:v>0.3868055555555555</c:v>
                </c:pt>
                <c:pt idx="9">
                  <c:v>0.39374999999999993</c:v>
                </c:pt>
                <c:pt idx="10">
                  <c:v>0.40069444444444435</c:v>
                </c:pt>
                <c:pt idx="11">
                  <c:v>0.4013888888888888</c:v>
                </c:pt>
                <c:pt idx="12">
                  <c:v>0.4034722222222221</c:v>
                </c:pt>
                <c:pt idx="13">
                  <c:v>0.40416666666666656</c:v>
                </c:pt>
                <c:pt idx="14">
                  <c:v>0.4076388888888888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Computations!$L$12:$L$26</c:f>
              <c:numCache>
                <c:ptCount val="15"/>
                <c:pt idx="0">
                  <c:v>0</c:v>
                </c:pt>
                <c:pt idx="1">
                  <c:v>0.001388888888888884</c:v>
                </c:pt>
                <c:pt idx="2">
                  <c:v>0.002777777777777768</c:v>
                </c:pt>
                <c:pt idx="3">
                  <c:v>0.004166666666666652</c:v>
                </c:pt>
                <c:pt idx="4">
                  <c:v>0</c:v>
                </c:pt>
                <c:pt idx="5">
                  <c:v>0.00347222222222221</c:v>
                </c:pt>
                <c:pt idx="6">
                  <c:v>0</c:v>
                </c:pt>
                <c:pt idx="7">
                  <c:v>0.006249999999999978</c:v>
                </c:pt>
                <c:pt idx="8">
                  <c:v>0.01041666666666663</c:v>
                </c:pt>
                <c:pt idx="9">
                  <c:v>0.009722222222222188</c:v>
                </c:pt>
                <c:pt idx="10">
                  <c:v>0.004861111111111094</c:v>
                </c:pt>
                <c:pt idx="11">
                  <c:v>0</c:v>
                </c:pt>
                <c:pt idx="12">
                  <c:v>0.008333333333333304</c:v>
                </c:pt>
                <c:pt idx="13">
                  <c:v>0</c:v>
                </c:pt>
                <c:pt idx="14">
                  <c:v>0.01041666666666663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Computations!$M$12:$M$26</c:f>
              <c:numCache>
                <c:ptCount val="15"/>
                <c:pt idx="0">
                  <c:v>0.0020833333333333333</c:v>
                </c:pt>
                <c:pt idx="1">
                  <c:v>0.0020833333333333333</c:v>
                </c:pt>
                <c:pt idx="2">
                  <c:v>0.0020833333333333333</c:v>
                </c:pt>
                <c:pt idx="3">
                  <c:v>0.0020833333333333333</c:v>
                </c:pt>
                <c:pt idx="4">
                  <c:v>0</c:v>
                </c:pt>
                <c:pt idx="5">
                  <c:v>0.004166666666666667</c:v>
                </c:pt>
                <c:pt idx="6">
                  <c:v>0</c:v>
                </c:pt>
                <c:pt idx="7">
                  <c:v>0.00625</c:v>
                </c:pt>
                <c:pt idx="8">
                  <c:v>0.00625</c:v>
                </c:pt>
                <c:pt idx="9">
                  <c:v>0.0020833333333333333</c:v>
                </c:pt>
                <c:pt idx="10">
                  <c:v>0.00625</c:v>
                </c:pt>
                <c:pt idx="11">
                  <c:v>0</c:v>
                </c:pt>
                <c:pt idx="12">
                  <c:v>0.00625</c:v>
                </c:pt>
                <c:pt idx="13">
                  <c:v>0</c:v>
                </c:pt>
                <c:pt idx="14">
                  <c:v>0.00625</c:v>
                </c:pt>
              </c:numCache>
            </c:numRef>
          </c:val>
        </c:ser>
        <c:overlap val="100"/>
        <c:gapWidth val="0"/>
        <c:axId val="11072325"/>
        <c:axId val="32542062"/>
      </c:barChart>
      <c:catAx>
        <c:axId val="1107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2325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Computations!$O$33</c:f>
              <c:numCache>
                <c:ptCount val="1"/>
                <c:pt idx="0">
                  <c:v>0.4243055555555554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Computations!$O$32</c:f>
              <c:numCache>
                <c:ptCount val="1"/>
                <c:pt idx="0">
                  <c:v>0.4180555555555554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Computations!$O$31</c:f>
              <c:numCache>
                <c:ptCount val="1"/>
                <c:pt idx="0">
                  <c:v>0.4180555555555554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Computations!$O$30</c:f>
              <c:numCache>
                <c:ptCount val="1"/>
                <c:pt idx="0">
                  <c:v>0.4118055555555554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Computations!$O$29</c:f>
              <c:numCache>
                <c:ptCount val="1"/>
                <c:pt idx="0">
                  <c:v>0.4118055555555554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Computations!$O$28</c:f>
              <c:numCache>
                <c:ptCount val="1"/>
                <c:pt idx="0">
                  <c:v>0.40555555555555545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Computations!$O$27</c:f>
              <c:numCache>
                <c:ptCount val="1"/>
                <c:pt idx="0">
                  <c:v>0.40555555555555545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Computations!$O$26</c:f>
              <c:numCache>
                <c:ptCount val="1"/>
                <c:pt idx="0">
                  <c:v>0.4034722222222221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Computations!$O$25</c:f>
              <c:numCache>
                <c:ptCount val="1"/>
                <c:pt idx="0">
                  <c:v>0.4034722222222221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Computations!$O$24</c:f>
              <c:numCache>
                <c:ptCount val="1"/>
                <c:pt idx="0">
                  <c:v>0.39722222222222214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Computations!$O$23</c:f>
              <c:numCache>
                <c:ptCount val="1"/>
                <c:pt idx="0">
                  <c:v>0.39722222222222214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Computations!$O$22</c:f>
              <c:numCache>
                <c:ptCount val="1"/>
                <c:pt idx="0">
                  <c:v>0.39097222222222217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Computations!$O$21</c:f>
              <c:numCache>
                <c:ptCount val="1"/>
                <c:pt idx="0">
                  <c:v>0.39097222222222217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Computations!$O$20</c:f>
              <c:numCache>
                <c:ptCount val="1"/>
                <c:pt idx="0">
                  <c:v>0.3868055555555555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Computations!$O$19</c:f>
              <c:numCache>
                <c:ptCount val="1"/>
                <c:pt idx="0">
                  <c:v>0.3868055555555555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Computations!$O$18</c:f>
              <c:numCache>
                <c:ptCount val="1"/>
                <c:pt idx="0">
                  <c:v>0.3847222222222222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Computations!$O$17</c:f>
              <c:numCache>
                <c:ptCount val="1"/>
                <c:pt idx="0">
                  <c:v>0.3847222222222222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Computations!$O$16</c:f>
              <c:numCache>
                <c:ptCount val="1"/>
                <c:pt idx="0">
                  <c:v>0.38263888888888886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Computations!$O$15</c:f>
              <c:numCache>
                <c:ptCount val="1"/>
                <c:pt idx="0">
                  <c:v>0.38263888888888886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Computations!$O$14</c:f>
              <c:numCache>
                <c:ptCount val="1"/>
                <c:pt idx="0">
                  <c:v>0.38055555555555554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Computations!$O$13</c:f>
              <c:numCache>
                <c:ptCount val="1"/>
                <c:pt idx="0">
                  <c:v>0.38055555555555554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</c:f>
              <c:strCache>
                <c:ptCount val="1"/>
                <c:pt idx="0">
                  <c:v>Server 1</c:v>
                </c:pt>
              </c:strCache>
            </c:strRef>
          </c:cat>
          <c:val>
            <c:numRef>
              <c:f>Computations!$O$12</c:f>
              <c:numCache>
                <c:ptCount val="1"/>
                <c:pt idx="0">
                  <c:v>0.3784722222222222</c:v>
                </c:pt>
              </c:numCache>
            </c:numRef>
          </c:val>
        </c:ser>
        <c:overlap val="100"/>
        <c:axId val="24443103"/>
        <c:axId val="18661336"/>
      </c:barChart>
      <c:catAx>
        <c:axId val="24443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43103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76200</xdr:rowOff>
    </xdr:from>
    <xdr:to>
      <xdr:col>11</xdr:col>
      <xdr:colOff>438150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0" y="4457700"/>
        <a:ext cx="6210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447675</xdr:colOff>
      <xdr:row>27</xdr:row>
      <xdr:rowOff>76200</xdr:rowOff>
    </xdr:from>
    <xdr:to>
      <xdr:col>22</xdr:col>
      <xdr:colOff>428625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6219825" y="4457700"/>
        <a:ext cx="62103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12.140625" style="5" customWidth="1"/>
    <col min="5" max="5" width="8.8515625" style="5" customWidth="1"/>
    <col min="6" max="6" width="12.00390625" style="5" customWidth="1"/>
    <col min="7" max="7" width="9.8515625" style="5" customWidth="1"/>
    <col min="8" max="8" width="9.7109375" style="5" customWidth="1"/>
    <col min="9" max="9" width="9.57421875" style="5" customWidth="1"/>
    <col min="10" max="255" width="8.8515625" style="5" customWidth="1"/>
    <col min="256" max="16384" width="9.140625" style="5" customWidth="1"/>
  </cols>
  <sheetData>
    <row r="1" spans="2:8" ht="16.5" thickBot="1">
      <c r="B1" s="2" t="s">
        <v>0</v>
      </c>
      <c r="C1" s="3"/>
      <c r="D1" s="4"/>
      <c r="E1" s="4"/>
      <c r="F1" s="4"/>
      <c r="G1" s="4"/>
      <c r="H1" s="37"/>
    </row>
    <row r="2" spans="1:7" ht="12.75">
      <c r="A2" s="6"/>
      <c r="B2" s="6"/>
      <c r="C2" s="6"/>
      <c r="D2" s="7"/>
      <c r="E2" s="7"/>
      <c r="F2" s="7"/>
      <c r="G2" s="7"/>
    </row>
    <row r="3" spans="1:7" ht="13.5" thickBot="1">
      <c r="A3" s="8" t="s">
        <v>1</v>
      </c>
      <c r="B3" s="6"/>
      <c r="C3" s="8" t="s">
        <v>2</v>
      </c>
      <c r="E3" s="9" t="s">
        <v>3</v>
      </c>
      <c r="F3" s="8"/>
      <c r="G3" s="7"/>
    </row>
    <row r="4" spans="1:6" ht="13.5" thickBot="1">
      <c r="A4" s="10">
        <v>0.375</v>
      </c>
      <c r="B4" s="6"/>
      <c r="C4" s="10">
        <v>0.4166666666666667</v>
      </c>
      <c r="E4" s="11">
        <v>2</v>
      </c>
      <c r="F4" s="12"/>
    </row>
    <row r="7" spans="1:9" ht="13.5" thickBot="1">
      <c r="A7" s="13" t="s">
        <v>4</v>
      </c>
      <c r="B7" s="13"/>
      <c r="C7" s="13"/>
      <c r="D7" s="13"/>
      <c r="E7" s="14"/>
      <c r="F7" s="15" t="s">
        <v>5</v>
      </c>
      <c r="G7" s="13"/>
      <c r="H7" s="13"/>
      <c r="I7" s="13"/>
    </row>
    <row r="8" spans="1:9" ht="12.75">
      <c r="A8" s="16"/>
      <c r="B8" s="20" t="s">
        <v>6</v>
      </c>
      <c r="C8" s="17" t="s">
        <v>7</v>
      </c>
      <c r="D8" s="18" t="s">
        <v>8</v>
      </c>
      <c r="E8" s="14"/>
      <c r="F8" s="16"/>
      <c r="G8" s="17" t="s">
        <v>9</v>
      </c>
      <c r="H8" s="17" t="s">
        <v>10</v>
      </c>
      <c r="I8" s="18" t="s">
        <v>11</v>
      </c>
    </row>
    <row r="9" spans="1:9" ht="12.75">
      <c r="A9" s="19" t="s">
        <v>12</v>
      </c>
      <c r="B9" s="20" t="s">
        <v>13</v>
      </c>
      <c r="C9" s="20" t="s">
        <v>13</v>
      </c>
      <c r="D9" s="21" t="s">
        <v>14</v>
      </c>
      <c r="E9" s="14"/>
      <c r="F9" s="19" t="s">
        <v>12</v>
      </c>
      <c r="G9" s="20" t="s">
        <v>13</v>
      </c>
      <c r="H9" s="20" t="s">
        <v>13</v>
      </c>
      <c r="I9" s="21" t="s">
        <v>14</v>
      </c>
    </row>
    <row r="10" spans="1:9" ht="13.5" thickBot="1">
      <c r="A10" s="22"/>
      <c r="B10" s="23"/>
      <c r="C10" s="23"/>
      <c r="D10" s="24" t="s">
        <v>15</v>
      </c>
      <c r="E10" s="14"/>
      <c r="F10" s="25"/>
      <c r="G10" s="23"/>
      <c r="H10" s="23"/>
      <c r="I10" s="24" t="s">
        <v>15</v>
      </c>
    </row>
    <row r="11" spans="1:9" ht="12.75">
      <c r="A11" s="26">
        <v>0.45</v>
      </c>
      <c r="B11" s="27">
        <v>0</v>
      </c>
      <c r="C11" s="38">
        <f>B11+A11</f>
        <v>0.45</v>
      </c>
      <c r="D11" s="28">
        <v>1</v>
      </c>
      <c r="E11" s="14"/>
      <c r="F11" s="26">
        <v>0.3</v>
      </c>
      <c r="G11" s="27">
        <v>0</v>
      </c>
      <c r="H11" s="38">
        <f>G11+F11</f>
        <v>0.3</v>
      </c>
      <c r="I11" s="28">
        <v>3</v>
      </c>
    </row>
    <row r="12" spans="1:9" ht="12.75">
      <c r="A12" s="26">
        <v>0.25</v>
      </c>
      <c r="B12" s="27">
        <f>C11</f>
        <v>0.45</v>
      </c>
      <c r="C12" s="38">
        <f>B12+A12</f>
        <v>0.7</v>
      </c>
      <c r="D12" s="28">
        <v>3</v>
      </c>
      <c r="E12" s="14"/>
      <c r="F12" s="26">
        <v>0.35</v>
      </c>
      <c r="G12" s="27">
        <f>H11</f>
        <v>0.3</v>
      </c>
      <c r="H12" s="38">
        <f>G12+F12</f>
        <v>0.6499999999999999</v>
      </c>
      <c r="I12" s="28">
        <v>6</v>
      </c>
    </row>
    <row r="13" spans="1:9" ht="13.5" thickBot="1">
      <c r="A13" s="26">
        <v>0.1</v>
      </c>
      <c r="B13" s="27">
        <f>C12</f>
        <v>0.7</v>
      </c>
      <c r="C13" s="38">
        <f>B13+A13</f>
        <v>0.7999999999999999</v>
      </c>
      <c r="D13" s="28">
        <v>5</v>
      </c>
      <c r="E13" s="14"/>
      <c r="F13" s="29">
        <v>0.35</v>
      </c>
      <c r="G13" s="30">
        <f>H12</f>
        <v>0.6499999999999999</v>
      </c>
      <c r="H13" s="39">
        <f>G13+F13</f>
        <v>0.9999999999999999</v>
      </c>
      <c r="I13" s="31">
        <v>9</v>
      </c>
    </row>
    <row r="14" spans="1:9" ht="13.5" thickBot="1">
      <c r="A14" s="29">
        <v>0.2</v>
      </c>
      <c r="B14" s="30">
        <f>C13</f>
        <v>0.7999999999999999</v>
      </c>
      <c r="C14" s="39">
        <f>B14+A14</f>
        <v>1</v>
      </c>
      <c r="D14" s="31">
        <v>10</v>
      </c>
      <c r="E14" s="14"/>
      <c r="F14" s="32"/>
      <c r="G14" s="32"/>
      <c r="H14" s="32"/>
      <c r="I14" s="32"/>
    </row>
    <row r="15" spans="1:9" ht="12.75">
      <c r="A15" s="32"/>
      <c r="B15" s="32"/>
      <c r="C15" s="33"/>
      <c r="D15" s="32"/>
      <c r="E15" s="14"/>
      <c r="F15" s="32"/>
      <c r="G15" s="32"/>
      <c r="H15" s="32"/>
      <c r="I15" s="32"/>
    </row>
    <row r="16" spans="1:9" ht="12.75">
      <c r="A16" s="32"/>
      <c r="B16" s="32"/>
      <c r="C16" s="33"/>
      <c r="D16" s="32"/>
      <c r="E16" s="14"/>
      <c r="F16" s="32"/>
      <c r="G16" s="32"/>
      <c r="H16" s="32"/>
      <c r="I16" s="32"/>
    </row>
    <row r="17" spans="1:9" ht="12.75">
      <c r="A17" s="32"/>
      <c r="B17" s="32"/>
      <c r="C17" s="33"/>
      <c r="D17" s="32"/>
      <c r="E17" s="14"/>
      <c r="F17" s="32"/>
      <c r="G17" s="32"/>
      <c r="H17" s="32"/>
      <c r="I17" s="32"/>
    </row>
    <row r="18" spans="1:9" ht="12.75">
      <c r="A18" s="32"/>
      <c r="B18" s="32"/>
      <c r="C18" s="33"/>
      <c r="D18" s="32"/>
      <c r="E18" s="14"/>
      <c r="F18" s="32"/>
      <c r="G18" s="32"/>
      <c r="H18" s="32"/>
      <c r="I18" s="32"/>
    </row>
    <row r="19" spans="1:9" ht="12.75">
      <c r="A19" s="32"/>
      <c r="B19" s="32"/>
      <c r="C19" s="33"/>
      <c r="D19" s="32"/>
      <c r="E19" s="14"/>
      <c r="F19" s="32"/>
      <c r="G19" s="32"/>
      <c r="H19" s="32"/>
      <c r="I19" s="32"/>
    </row>
    <row r="20" spans="1:9" ht="12.75">
      <c r="A20" s="32"/>
      <c r="B20" s="32"/>
      <c r="C20" s="33"/>
      <c r="D20" s="32"/>
      <c r="F20" s="32"/>
      <c r="G20" s="32"/>
      <c r="H20" s="32"/>
      <c r="I20" s="32"/>
    </row>
    <row r="21" spans="1:5" ht="12.75">
      <c r="A21" s="34"/>
      <c r="B21" s="34"/>
      <c r="E21" s="35"/>
    </row>
    <row r="22" spans="1:7" ht="12.75">
      <c r="A22" s="34"/>
      <c r="B22" s="34"/>
      <c r="E22" s="35"/>
      <c r="G22" s="36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4.8515625" style="14" customWidth="1"/>
    <col min="2" max="2" width="11.00390625" style="69" customWidth="1"/>
    <col min="3" max="3" width="8.00390625" style="14" customWidth="1"/>
    <col min="4" max="4" width="9.28125" style="70" customWidth="1"/>
    <col min="5" max="5" width="6.140625" style="14" customWidth="1"/>
    <col min="6" max="6" width="7.8515625" style="71" customWidth="1"/>
    <col min="7" max="8" width="8.00390625" style="71" customWidth="1"/>
    <col min="9" max="10" width="8.00390625" style="14" customWidth="1"/>
    <col min="11" max="11" width="7.421875" style="14" customWidth="1"/>
    <col min="12" max="16" width="7.7109375" style="14" customWidth="1"/>
    <col min="17" max="17" width="9.140625" style="69" customWidth="1"/>
    <col min="18" max="18" width="9.140625" style="71" customWidth="1"/>
    <col min="19" max="16384" width="9.140625" style="14" customWidth="1"/>
  </cols>
  <sheetData>
    <row r="1" spans="6:18" ht="12.75">
      <c r="F1" s="14"/>
      <c r="G1" s="14"/>
      <c r="H1" s="14"/>
      <c r="Q1" s="14"/>
      <c r="R1" s="14"/>
    </row>
    <row r="2" spans="6:18" ht="12.75">
      <c r="F2" s="14"/>
      <c r="G2" s="14"/>
      <c r="H2" s="14"/>
      <c r="Q2" s="14"/>
      <c r="R2" s="14"/>
    </row>
    <row r="3" spans="6:18" ht="12.75">
      <c r="F3" s="14"/>
      <c r="G3" s="14"/>
      <c r="H3" s="14"/>
      <c r="Q3" s="14"/>
      <c r="R3" s="14"/>
    </row>
    <row r="4" spans="6:18" ht="12.75">
      <c r="F4" s="14"/>
      <c r="G4" s="14"/>
      <c r="H4" s="14"/>
      <c r="Q4" s="14"/>
      <c r="R4" s="14"/>
    </row>
    <row r="6" ht="12.75">
      <c r="D6" s="47" t="s">
        <v>16</v>
      </c>
    </row>
    <row r="7" spans="1:10" s="40" customFormat="1" ht="12.75">
      <c r="A7" s="40" t="s">
        <v>17</v>
      </c>
      <c r="B7" s="47" t="s">
        <v>8</v>
      </c>
      <c r="C7" s="40" t="s">
        <v>18</v>
      </c>
      <c r="D7" s="47" t="s">
        <v>19</v>
      </c>
      <c r="F7" s="40" t="s">
        <v>11</v>
      </c>
      <c r="G7" s="63" t="s">
        <v>20</v>
      </c>
      <c r="H7" s="63"/>
      <c r="I7" s="40" t="s">
        <v>21</v>
      </c>
      <c r="J7" s="40" t="s">
        <v>22</v>
      </c>
    </row>
    <row r="8" spans="1:10" s="40" customFormat="1" ht="12.75">
      <c r="A8" s="40" t="s">
        <v>23</v>
      </c>
      <c r="B8" s="47" t="s">
        <v>14</v>
      </c>
      <c r="C8" s="47" t="s">
        <v>14</v>
      </c>
      <c r="D8" s="47" t="s">
        <v>24</v>
      </c>
      <c r="E8" s="40" t="s">
        <v>25</v>
      </c>
      <c r="F8" s="40" t="s">
        <v>14</v>
      </c>
      <c r="G8" s="64" t="s">
        <v>26</v>
      </c>
      <c r="H8" s="64" t="s">
        <v>27</v>
      </c>
      <c r="I8" s="65" t="s">
        <v>14</v>
      </c>
      <c r="J8" s="65" t="s">
        <v>14</v>
      </c>
    </row>
    <row r="9" spans="1:10" s="40" customFormat="1" ht="13.5" thickBot="1">
      <c r="A9" s="41"/>
      <c r="B9" s="48" t="s">
        <v>15</v>
      </c>
      <c r="C9" s="41" t="s">
        <v>28</v>
      </c>
      <c r="D9" s="48" t="s">
        <v>29</v>
      </c>
      <c r="E9" s="41"/>
      <c r="F9" s="41" t="s">
        <v>15</v>
      </c>
      <c r="G9" s="41" t="s">
        <v>28</v>
      </c>
      <c r="H9" s="41" t="s">
        <v>28</v>
      </c>
      <c r="I9" s="41" t="s">
        <v>28</v>
      </c>
      <c r="J9" s="41" t="s">
        <v>28</v>
      </c>
    </row>
    <row r="10" spans="2:8" s="53" customFormat="1" ht="12.75">
      <c r="B10" s="70"/>
      <c r="D10" s="70"/>
      <c r="G10" s="54"/>
      <c r="H10" s="54"/>
    </row>
    <row r="11" spans="1:10" s="53" customFormat="1" ht="12.75">
      <c r="A11" s="67" t="s">
        <v>30</v>
      </c>
      <c r="B11" s="72"/>
      <c r="C11" s="68">
        <f>Computations!F11</f>
        <v>0.375</v>
      </c>
      <c r="D11" s="72"/>
      <c r="E11" s="67"/>
      <c r="F11" s="67"/>
      <c r="G11" s="68"/>
      <c r="H11" s="68"/>
      <c r="I11" s="67"/>
      <c r="J11" s="67"/>
    </row>
    <row r="12" spans="1:10" s="53" customFormat="1" ht="12.75">
      <c r="A12" s="67">
        <f>Computations!A12</f>
        <v>1</v>
      </c>
      <c r="B12" s="72">
        <f>IF(ISTEXT(C12),"",Computations!B12)</f>
        <v>5</v>
      </c>
      <c r="C12" s="68">
        <f>IF(Computations!F12="closed",Computations!F11+Computations!C12,Computations!F12)</f>
        <v>0.3784722222222222</v>
      </c>
      <c r="D12" s="72">
        <f>IF(ISTEXT(A12),"",Computations!G12)</f>
        <v>0</v>
      </c>
      <c r="E12" s="67">
        <f>Computations!H12</f>
      </c>
      <c r="F12" s="67">
        <f>IF(ISTEXT(Computations!J12),"",Computations!D12)</f>
        <v>3</v>
      </c>
      <c r="G12" s="68">
        <f>IF(Computations!$K12=1,Computations!J12,"")</f>
        <v>0.3784722222222222</v>
      </c>
      <c r="H12" s="68">
        <f>IF(ISTEXT($G12),"",$G12+Computations!$E12)</f>
        <v>0.38055555555555554</v>
      </c>
      <c r="I12" s="68">
        <f>Computations!L12</f>
        <v>0</v>
      </c>
      <c r="J12" s="68">
        <f>IF(ISTEXT($I12),"",Computations!$E12+I12)</f>
        <v>0.0020833333333333333</v>
      </c>
    </row>
    <row r="13" spans="1:10" s="53" customFormat="1" ht="12.75">
      <c r="A13" s="67">
        <f>Computations!A13</f>
        <v>2</v>
      </c>
      <c r="B13" s="72">
        <f>IF(ISTEXT(C13),"",Computations!B13)</f>
        <v>1</v>
      </c>
      <c r="C13" s="68">
        <f>IF(Computations!F13="closed",Computations!F12+Computations!C13,Computations!F13)</f>
        <v>0.37916666666666665</v>
      </c>
      <c r="D13" s="72">
        <f>IF(ISTEXT(A13),"",Computations!G13)</f>
        <v>0</v>
      </c>
      <c r="E13" s="67">
        <f>Computations!H13</f>
      </c>
      <c r="F13" s="67">
        <f>IF(ISTEXT(Computations!J13),"",Computations!D13)</f>
        <v>3</v>
      </c>
      <c r="G13" s="68">
        <f>IF(Computations!$K13=1,Computations!J13,"")</f>
        <v>0.38055555555555554</v>
      </c>
      <c r="H13" s="68">
        <f>IF(ISTEXT($G13),"",$G13+Computations!$E13)</f>
        <v>0.38263888888888886</v>
      </c>
      <c r="I13" s="68">
        <f>Computations!L13</f>
        <v>0.001388888888888884</v>
      </c>
      <c r="J13" s="68">
        <f>IF(ISTEXT($I13),"",Computations!$E13+I13)</f>
        <v>0.0034722222222222173</v>
      </c>
    </row>
    <row r="14" spans="1:10" s="53" customFormat="1" ht="12.75">
      <c r="A14" s="67">
        <f>Computations!A14</f>
        <v>3</v>
      </c>
      <c r="B14" s="72">
        <f>IF(ISTEXT(C14),"",Computations!B14)</f>
        <v>1</v>
      </c>
      <c r="C14" s="68">
        <f>IF(Computations!F14="closed",Computations!F13+Computations!C14,Computations!F14)</f>
        <v>0.3798611111111111</v>
      </c>
      <c r="D14" s="72">
        <f>IF(ISTEXT(A14),"",Computations!G14)</f>
        <v>1</v>
      </c>
      <c r="E14" s="67">
        <f>Computations!H14</f>
      </c>
      <c r="F14" s="67">
        <f>IF(ISTEXT(Computations!J14),"",Computations!D14)</f>
        <v>3</v>
      </c>
      <c r="G14" s="68">
        <f>IF(Computations!$K14=1,Computations!J14,"")</f>
        <v>0.38263888888888886</v>
      </c>
      <c r="H14" s="68">
        <f>IF(ISTEXT($G14),"",$G14+Computations!$E14)</f>
        <v>0.3847222222222222</v>
      </c>
      <c r="I14" s="68">
        <f>Computations!L14</f>
        <v>0.002777777777777768</v>
      </c>
      <c r="J14" s="68">
        <f>IF(ISTEXT($I14),"",Computations!$E14+I14)</f>
        <v>0.004861111111111101</v>
      </c>
    </row>
    <row r="15" spans="1:10" s="53" customFormat="1" ht="12.75">
      <c r="A15" s="67">
        <f>Computations!A15</f>
        <v>4</v>
      </c>
      <c r="B15" s="72">
        <f>IF(ISTEXT(C15),"",Computations!B15)</f>
        <v>1</v>
      </c>
      <c r="C15" s="68">
        <f>IF(Computations!F15="closed",Computations!F14+Computations!C15,Computations!F15)</f>
        <v>0.38055555555555554</v>
      </c>
      <c r="D15" s="72">
        <f>IF(ISTEXT(A15),"",Computations!G15)</f>
        <v>1</v>
      </c>
      <c r="E15" s="67">
        <f>Computations!H15</f>
      </c>
      <c r="F15" s="67">
        <f>IF(ISTEXT(Computations!J15),"",Computations!D15)</f>
        <v>3</v>
      </c>
      <c r="G15" s="68">
        <f>IF(Computations!$K15=1,Computations!J15,"")</f>
        <v>0.3847222222222222</v>
      </c>
      <c r="H15" s="68">
        <f>IF(ISTEXT($G15),"",$G15+Computations!$E15)</f>
        <v>0.3868055555555555</v>
      </c>
      <c r="I15" s="68">
        <f>Computations!L15</f>
        <v>0.004166666666666652</v>
      </c>
      <c r="J15" s="68">
        <f>IF(ISTEXT($I15),"",Computations!$E15+I15)</f>
        <v>0.006249999999999985</v>
      </c>
    </row>
    <row r="16" spans="1:10" s="53" customFormat="1" ht="12.75">
      <c r="A16" s="67">
        <f>Computations!A16</f>
        <v>5</v>
      </c>
      <c r="B16" s="72">
        <f>IF(ISTEXT(C16),"",Computations!B16)</f>
        <v>1</v>
      </c>
      <c r="C16" s="68">
        <f>IF(Computations!F16="closed",Computations!F15+Computations!C16,Computations!F16)</f>
        <v>0.38125</v>
      </c>
      <c r="D16" s="72">
        <f>IF(ISTEXT(A16),"",Computations!G16)</f>
        <v>2</v>
      </c>
      <c r="E16" s="67" t="str">
        <f>Computations!H16</f>
        <v>balk</v>
      </c>
      <c r="F16" s="67">
        <f>IF(ISTEXT(Computations!J16),"",Computations!D16)</f>
      </c>
      <c r="G16" s="68">
        <f>IF(Computations!$K16=1,Computations!J16,"")</f>
      </c>
      <c r="H16" s="68">
        <f>IF(ISTEXT($G16),"",$G16+Computations!$E16)</f>
      </c>
      <c r="I16" s="68">
        <f>Computations!L16</f>
      </c>
      <c r="J16" s="68">
        <f>IF(ISTEXT($I16),"",Computations!$E16+I16)</f>
      </c>
    </row>
    <row r="17" spans="1:10" s="53" customFormat="1" ht="12.75">
      <c r="A17" s="67">
        <f>Computations!A17</f>
        <v>6</v>
      </c>
      <c r="B17" s="72">
        <f>IF(ISTEXT(C17),"",Computations!B17)</f>
        <v>3</v>
      </c>
      <c r="C17" s="68">
        <f>IF(Computations!F17="closed",Computations!F16+Computations!C17,Computations!F17)</f>
        <v>0.3833333333333333</v>
      </c>
      <c r="D17" s="72">
        <f>IF(ISTEXT(A17),"",Computations!G17)</f>
        <v>1</v>
      </c>
      <c r="E17" s="67">
        <f>Computations!H17</f>
      </c>
      <c r="F17" s="67">
        <f>IF(ISTEXT(Computations!J17),"",Computations!D17)</f>
        <v>6</v>
      </c>
      <c r="G17" s="68">
        <f>IF(Computations!$K17=1,Computations!J17,"")</f>
        <v>0.3868055555555555</v>
      </c>
      <c r="H17" s="68">
        <f>IF(ISTEXT($G17),"",$G17+Computations!$E17)</f>
        <v>0.39097222222222217</v>
      </c>
      <c r="I17" s="68">
        <f>Computations!L17</f>
        <v>0.00347222222222221</v>
      </c>
      <c r="J17" s="68">
        <f>IF(ISTEXT($I17),"",Computations!$E17+I17)</f>
        <v>0.0076388888888888765</v>
      </c>
    </row>
    <row r="18" spans="1:10" s="53" customFormat="1" ht="12.75">
      <c r="A18" s="67">
        <f>Computations!A18</f>
        <v>7</v>
      </c>
      <c r="B18" s="72">
        <f>IF(ISTEXT(C18),"",Computations!B18)</f>
        <v>1</v>
      </c>
      <c r="C18" s="68">
        <f>IF(Computations!F18="closed",Computations!F17+Computations!C18,Computations!F18)</f>
        <v>0.38402777777777775</v>
      </c>
      <c r="D18" s="72">
        <f>IF(ISTEXT(A18),"",Computations!G18)</f>
        <v>2</v>
      </c>
      <c r="E18" s="67" t="str">
        <f>Computations!H18</f>
        <v>balk</v>
      </c>
      <c r="F18" s="67">
        <f>IF(ISTEXT(Computations!J18),"",Computations!D18)</f>
      </c>
      <c r="G18" s="68">
        <f>IF(Computations!$K18=1,Computations!J18,"")</f>
      </c>
      <c r="H18" s="68">
        <f>IF(ISTEXT($G18),"",$G18+Computations!$E18)</f>
      </c>
      <c r="I18" s="68">
        <f>Computations!L18</f>
      </c>
      <c r="J18" s="68">
        <f>IF(ISTEXT($I18),"",Computations!$E18+I18)</f>
      </c>
    </row>
    <row r="19" spans="1:10" s="53" customFormat="1" ht="12.75">
      <c r="A19" s="67">
        <f>Computations!A19</f>
        <v>8</v>
      </c>
      <c r="B19" s="72">
        <f>IF(ISTEXT(C19),"",Computations!B19)</f>
        <v>1</v>
      </c>
      <c r="C19" s="68">
        <f>IF(Computations!F19="closed",Computations!F18+Computations!C19,Computations!F19)</f>
        <v>0.3847222222222222</v>
      </c>
      <c r="D19" s="72">
        <f>IF(ISTEXT(A19),"",Computations!G19)</f>
        <v>1</v>
      </c>
      <c r="E19" s="67">
        <f>Computations!H19</f>
      </c>
      <c r="F19" s="67">
        <f>IF(ISTEXT(Computations!J19),"",Computations!D19)</f>
        <v>9</v>
      </c>
      <c r="G19" s="68">
        <f>IF(Computations!$K19=1,Computations!J19,"")</f>
        <v>0.39097222222222217</v>
      </c>
      <c r="H19" s="68">
        <f>IF(ISTEXT($G19),"",$G19+Computations!$E19)</f>
        <v>0.39722222222222214</v>
      </c>
      <c r="I19" s="68">
        <f>Computations!L19</f>
        <v>0.006249999999999978</v>
      </c>
      <c r="J19" s="68">
        <f>IF(ISTEXT($I19),"",Computations!$E19+I19)</f>
        <v>0.012499999999999978</v>
      </c>
    </row>
    <row r="20" spans="1:10" s="53" customFormat="1" ht="12.75">
      <c r="A20" s="67">
        <f>Computations!A20</f>
        <v>9</v>
      </c>
      <c r="B20" s="72">
        <f>IF(ISTEXT(C20),"",Computations!B20)</f>
        <v>3</v>
      </c>
      <c r="C20" s="68">
        <f>IF(Computations!F20="closed",Computations!F19+Computations!C20,Computations!F20)</f>
        <v>0.3868055555555555</v>
      </c>
      <c r="D20" s="72">
        <f>IF(ISTEXT(A20),"",Computations!G20)</f>
        <v>1</v>
      </c>
      <c r="E20" s="67">
        <f>Computations!H20</f>
      </c>
      <c r="F20" s="67">
        <f>IF(ISTEXT(Computations!J20),"",Computations!D20)</f>
        <v>9</v>
      </c>
      <c r="G20" s="68">
        <f>IF(Computations!$K20=1,Computations!J20,"")</f>
        <v>0.39722222222222214</v>
      </c>
      <c r="H20" s="68">
        <f>IF(ISTEXT($G20),"",$G20+Computations!$E20)</f>
        <v>0.4034722222222221</v>
      </c>
      <c r="I20" s="68">
        <f>Computations!L20</f>
        <v>0.01041666666666663</v>
      </c>
      <c r="J20" s="68">
        <f>IF(ISTEXT($I20),"",Computations!$E20+I20)</f>
        <v>0.01666666666666663</v>
      </c>
    </row>
    <row r="21" spans="1:10" s="53" customFormat="1" ht="12.75">
      <c r="A21" s="67">
        <f>Computations!A21</f>
        <v>10</v>
      </c>
      <c r="B21" s="72">
        <f>IF(ISTEXT(C21),"",Computations!B21)</f>
        <v>10</v>
      </c>
      <c r="C21" s="68">
        <f>IF(Computations!F21="closed",Computations!F20+Computations!C21,Computations!F21)</f>
        <v>0.39374999999999993</v>
      </c>
      <c r="D21" s="72">
        <f>IF(ISTEXT(A21),"",Computations!G21)</f>
        <v>1</v>
      </c>
      <c r="E21" s="67">
        <f>Computations!H21</f>
      </c>
      <c r="F21" s="67">
        <f>IF(ISTEXT(Computations!J21),"",Computations!D21)</f>
        <v>3</v>
      </c>
      <c r="G21" s="68">
        <f>IF(Computations!$K21=1,Computations!J21,"")</f>
        <v>0.4034722222222221</v>
      </c>
      <c r="H21" s="68">
        <f>IF(ISTEXT($G21),"",$G21+Computations!$E21)</f>
        <v>0.40555555555555545</v>
      </c>
      <c r="I21" s="68">
        <f>Computations!L21</f>
        <v>0.009722222222222188</v>
      </c>
      <c r="J21" s="68">
        <f>IF(ISTEXT($I21),"",Computations!$E21+I21)</f>
        <v>0.01180555555555552</v>
      </c>
    </row>
    <row r="22" spans="1:10" s="53" customFormat="1" ht="12.75">
      <c r="A22" s="67">
        <f>Computations!A22</f>
        <v>11</v>
      </c>
      <c r="B22" s="72">
        <f>IF(ISTEXT(C22),"",Computations!B22)</f>
        <v>10</v>
      </c>
      <c r="C22" s="68">
        <f>IF(Computations!F22="closed",Computations!F21+Computations!C22,Computations!F22)</f>
        <v>0.40069444444444435</v>
      </c>
      <c r="D22" s="72">
        <f>IF(ISTEXT(A22),"",Computations!G22)</f>
        <v>1</v>
      </c>
      <c r="E22" s="67">
        <f>Computations!H22</f>
      </c>
      <c r="F22" s="67">
        <f>IF(ISTEXT(Computations!J22),"",Computations!D22)</f>
        <v>9</v>
      </c>
      <c r="G22" s="68">
        <f>IF(Computations!$K22=1,Computations!J22,"")</f>
        <v>0.40555555555555545</v>
      </c>
      <c r="H22" s="68">
        <f>IF(ISTEXT($G22),"",$G22+Computations!$E22)</f>
        <v>0.4118055555555554</v>
      </c>
      <c r="I22" s="68">
        <f>Computations!L22</f>
        <v>0.004861111111111094</v>
      </c>
      <c r="J22" s="68">
        <f>IF(ISTEXT($I22),"",Computations!$E22+I22)</f>
        <v>0.011111111111111094</v>
      </c>
    </row>
    <row r="23" spans="1:20" ht="12.75">
      <c r="A23" s="67">
        <f>Computations!A23</f>
        <v>12</v>
      </c>
      <c r="B23" s="72">
        <f>IF(ISTEXT(C23),"",Computations!B23)</f>
        <v>1</v>
      </c>
      <c r="C23" s="68">
        <f>IF(Computations!F23="closed",Computations!F22+Computations!C23,Computations!F23)</f>
        <v>0.4013888888888888</v>
      </c>
      <c r="D23" s="72">
        <f>IF(ISTEXT(A23),"",Computations!G23)</f>
        <v>2</v>
      </c>
      <c r="E23" s="67" t="str">
        <f>Computations!H23</f>
        <v>balk</v>
      </c>
      <c r="F23" s="67">
        <f>IF(ISTEXT(Computations!J23),"",Computations!D23)</f>
      </c>
      <c r="G23" s="68">
        <f>IF(Computations!$K23=1,Computations!J23,"")</f>
      </c>
      <c r="H23" s="68">
        <f>IF(ISTEXT($G23),"",$G23+Computations!$E23)</f>
      </c>
      <c r="I23" s="68">
        <f>Computations!L23</f>
      </c>
      <c r="J23" s="68">
        <f>IF(ISTEXT($I23),"",Computations!$E23+I23)</f>
      </c>
      <c r="T23" s="53"/>
    </row>
    <row r="24" spans="1:10" ht="12.75">
      <c r="A24" s="67">
        <f>Computations!A24</f>
        <v>13</v>
      </c>
      <c r="B24" s="72">
        <f>IF(ISTEXT(C24),"",Computations!B24)</f>
        <v>3</v>
      </c>
      <c r="C24" s="68">
        <f>IF(Computations!F24="closed",Computations!F23+Computations!C24,Computations!F24)</f>
        <v>0.4034722222222221</v>
      </c>
      <c r="D24" s="72">
        <f>IF(ISTEXT(A24),"",Computations!G24)</f>
        <v>1</v>
      </c>
      <c r="E24" s="67">
        <f>Computations!H24</f>
      </c>
      <c r="F24" s="67">
        <f>IF(ISTEXT(Computations!J24),"",Computations!D24)</f>
        <v>9</v>
      </c>
      <c r="G24" s="68">
        <f>IF(Computations!$K24=1,Computations!J24,"")</f>
        <v>0.4118055555555554</v>
      </c>
      <c r="H24" s="68">
        <f>IF(ISTEXT($G24),"",$G24+Computations!$E24)</f>
        <v>0.4180555555555554</v>
      </c>
      <c r="I24" s="68">
        <f>Computations!L24</f>
        <v>0.008333333333333304</v>
      </c>
      <c r="J24" s="68">
        <f>IF(ISTEXT($I24),"",Computations!$E24+I24)</f>
        <v>0.014583333333333304</v>
      </c>
    </row>
    <row r="25" spans="1:10" ht="12.75">
      <c r="A25" s="67">
        <f>Computations!A25</f>
        <v>14</v>
      </c>
      <c r="B25" s="72">
        <f>IF(ISTEXT(C25),"",Computations!B25)</f>
        <v>1</v>
      </c>
      <c r="C25" s="68">
        <f>IF(Computations!F25="closed",Computations!F24+Computations!C25,Computations!F25)</f>
        <v>0.40416666666666656</v>
      </c>
      <c r="D25" s="72">
        <f>IF(ISTEXT(A25),"",Computations!G25)</f>
        <v>2</v>
      </c>
      <c r="E25" s="67" t="str">
        <f>Computations!H25</f>
        <v>balk</v>
      </c>
      <c r="F25" s="67">
        <f>IF(ISTEXT(Computations!J25),"",Computations!D25)</f>
      </c>
      <c r="G25" s="68">
        <f>IF(Computations!$K25=1,Computations!J25,"")</f>
      </c>
      <c r="H25" s="68">
        <f>IF(ISTEXT($G25),"",$G25+Computations!$E25)</f>
      </c>
      <c r="I25" s="68">
        <f>Computations!L25</f>
      </c>
      <c r="J25" s="68">
        <f>IF(ISTEXT($I25),"",Computations!$E25+I25)</f>
      </c>
    </row>
    <row r="26" spans="1:10" ht="12.75">
      <c r="A26" s="67">
        <f>Computations!A26</f>
        <v>15</v>
      </c>
      <c r="B26" s="72">
        <f>IF(ISTEXT(C26),"",Computations!B26)</f>
        <v>5</v>
      </c>
      <c r="C26" s="68">
        <f>IF(Computations!F26="closed",Computations!F25+Computations!C26,Computations!F26)</f>
        <v>0.4076388888888888</v>
      </c>
      <c r="D26" s="72">
        <f>IF(ISTEXT(A26),"",Computations!G26)</f>
        <v>1</v>
      </c>
      <c r="E26" s="67">
        <f>Computations!H26</f>
      </c>
      <c r="F26" s="67">
        <f>IF(ISTEXT(Computations!J26),"",Computations!D26)</f>
        <v>9</v>
      </c>
      <c r="G26" s="68">
        <f>IF(Computations!$K26=1,Computations!J26,"")</f>
        <v>0.4180555555555554</v>
      </c>
      <c r="H26" s="68">
        <f>IF(ISTEXT($G26),"",$G26+Computations!$E26)</f>
        <v>0.4243055555555554</v>
      </c>
      <c r="I26" s="68">
        <f>Computations!L26</f>
        <v>0.01041666666666663</v>
      </c>
      <c r="J26" s="68">
        <f>IF(ISTEXT($I26),"",Computations!$E26+I26)</f>
        <v>0.01666666666666663</v>
      </c>
    </row>
    <row r="27" ht="12.75">
      <c r="E27" s="53"/>
    </row>
    <row r="28" ht="12.75">
      <c r="P28" s="71"/>
    </row>
    <row r="29" spans="7:18" ht="12.75">
      <c r="G29" s="66"/>
      <c r="R29" s="69"/>
    </row>
    <row r="31" ht="12.75">
      <c r="P31" s="71"/>
    </row>
    <row r="32" spans="6:16" ht="12.75">
      <c r="F32" s="66"/>
      <c r="P32" s="71"/>
    </row>
    <row r="33" ht="12.75">
      <c r="P33" s="71"/>
    </row>
    <row r="34" ht="12.75">
      <c r="P34" s="71"/>
    </row>
    <row r="35" ht="12.75">
      <c r="P35" s="71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5.421875" style="14" customWidth="1"/>
    <col min="2" max="2" width="11.00390625" style="57" customWidth="1"/>
    <col min="3" max="3" width="11.00390625" style="14" customWidth="1"/>
    <col min="4" max="4" width="10.140625" style="57" customWidth="1"/>
    <col min="5" max="5" width="8.421875" style="14" customWidth="1"/>
    <col min="6" max="6" width="8.00390625" style="14" customWidth="1"/>
    <col min="7" max="7" width="9.28125" style="53" customWidth="1"/>
    <col min="8" max="8" width="6.140625" style="53" customWidth="1"/>
    <col min="9" max="9" width="9.140625" style="53" customWidth="1"/>
    <col min="10" max="10" width="10.421875" style="54" customWidth="1"/>
    <col min="11" max="11" width="7.00390625" style="53" customWidth="1"/>
    <col min="12" max="12" width="8.00390625" style="53" customWidth="1"/>
    <col min="13" max="16384" width="9.140625" style="14" customWidth="1"/>
  </cols>
  <sheetData>
    <row r="1" spans="2:5" ht="12.75">
      <c r="B1" s="52"/>
      <c r="D1" s="52"/>
      <c r="E1" s="53"/>
    </row>
    <row r="2" spans="2:5" ht="12.75">
      <c r="B2" s="52"/>
      <c r="D2" s="52"/>
      <c r="E2" s="54"/>
    </row>
    <row r="3" spans="2:5" ht="12.75">
      <c r="B3" s="52"/>
      <c r="D3" s="52"/>
      <c r="E3" s="54"/>
    </row>
    <row r="4" spans="2:5" ht="12.75">
      <c r="B4" s="52"/>
      <c r="D4" s="52"/>
      <c r="E4" s="54"/>
    </row>
    <row r="5" spans="2:5" ht="12.75">
      <c r="B5" s="52"/>
      <c r="D5" s="52"/>
      <c r="E5" s="54"/>
    </row>
    <row r="6" spans="2:12" s="8" customFormat="1" ht="12.75">
      <c r="B6" s="49" t="s">
        <v>8</v>
      </c>
      <c r="D6" s="50" t="s">
        <v>11</v>
      </c>
      <c r="G6" s="40" t="s">
        <v>16</v>
      </c>
      <c r="H6" s="40"/>
      <c r="I6" s="40" t="s">
        <v>31</v>
      </c>
      <c r="J6" s="55"/>
      <c r="K6" s="40"/>
      <c r="L6" s="40"/>
    </row>
    <row r="7" spans="1:13" s="8" customFormat="1" ht="12.75">
      <c r="A7" s="40" t="s">
        <v>32</v>
      </c>
      <c r="B7" s="50" t="s">
        <v>14</v>
      </c>
      <c r="C7" s="40" t="s">
        <v>8</v>
      </c>
      <c r="D7" s="50" t="s">
        <v>14</v>
      </c>
      <c r="E7" s="40" t="s">
        <v>33</v>
      </c>
      <c r="F7" s="40" t="s">
        <v>18</v>
      </c>
      <c r="G7" s="40" t="s">
        <v>19</v>
      </c>
      <c r="H7" s="40"/>
      <c r="I7" s="40" t="s">
        <v>34</v>
      </c>
      <c r="J7" s="55" t="s">
        <v>35</v>
      </c>
      <c r="K7" s="40" t="s">
        <v>36</v>
      </c>
      <c r="L7" s="40" t="s">
        <v>21</v>
      </c>
      <c r="M7" s="40" t="s">
        <v>11</v>
      </c>
    </row>
    <row r="8" spans="1:13" s="8" customFormat="1" ht="12.75">
      <c r="A8" s="40" t="s">
        <v>23</v>
      </c>
      <c r="B8" s="50" t="s">
        <v>37</v>
      </c>
      <c r="C8" s="40" t="s">
        <v>14</v>
      </c>
      <c r="D8" s="50" t="s">
        <v>37</v>
      </c>
      <c r="E8" s="40" t="s">
        <v>14</v>
      </c>
      <c r="F8" s="40" t="s">
        <v>14</v>
      </c>
      <c r="G8" s="8" t="s">
        <v>24</v>
      </c>
      <c r="H8" s="40" t="s">
        <v>25</v>
      </c>
      <c r="I8" s="40" t="s">
        <v>14</v>
      </c>
      <c r="J8" s="55" t="s">
        <v>1</v>
      </c>
      <c r="K8" s="40" t="s">
        <v>38</v>
      </c>
      <c r="L8" s="40" t="s">
        <v>39</v>
      </c>
      <c r="M8" s="40" t="s">
        <v>14</v>
      </c>
    </row>
    <row r="9" spans="1:15" s="8" customFormat="1" ht="13.5" thickBot="1">
      <c r="A9" s="41"/>
      <c r="B9" s="51" t="s">
        <v>15</v>
      </c>
      <c r="C9" s="41" t="s">
        <v>40</v>
      </c>
      <c r="D9" s="51" t="s">
        <v>15</v>
      </c>
      <c r="E9" s="41" t="s">
        <v>40</v>
      </c>
      <c r="F9" s="41" t="s">
        <v>28</v>
      </c>
      <c r="G9" s="41" t="s">
        <v>29</v>
      </c>
      <c r="H9" s="41"/>
      <c r="I9" s="41" t="s">
        <v>28</v>
      </c>
      <c r="J9" s="41" t="s">
        <v>28</v>
      </c>
      <c r="K9" s="41"/>
      <c r="L9" s="41" t="s">
        <v>28</v>
      </c>
      <c r="M9" s="40" t="s">
        <v>91</v>
      </c>
      <c r="O9" s="74" t="s">
        <v>92</v>
      </c>
    </row>
    <row r="10" spans="1:13" ht="12.75">
      <c r="A10" s="53"/>
      <c r="B10" s="56"/>
      <c r="C10" s="53"/>
      <c r="D10" s="56"/>
      <c r="E10" s="53"/>
      <c r="F10" s="53"/>
      <c r="M10" s="53"/>
    </row>
    <row r="11" spans="1:15" ht="12.75">
      <c r="A11" s="67" t="s">
        <v>30</v>
      </c>
      <c r="B11" s="56"/>
      <c r="C11" s="67"/>
      <c r="D11" s="56"/>
      <c r="E11" s="67"/>
      <c r="F11" s="68">
        <f>start_time</f>
        <v>0.375</v>
      </c>
      <c r="G11" s="67"/>
      <c r="H11" s="67"/>
      <c r="I11" s="68"/>
      <c r="J11" s="68"/>
      <c r="K11" s="67"/>
      <c r="L11" s="67"/>
      <c r="M11" s="53"/>
      <c r="O11" s="14" t="s">
        <v>93</v>
      </c>
    </row>
    <row r="12" spans="1:15" ht="12.75">
      <c r="A12" s="67">
        <f>IF(ISTEXT(F12),"closed",1)</f>
        <v>1</v>
      </c>
      <c r="B12" s="56">
        <f ca="1">VLOOKUP(RAND(),arrival,3)</f>
        <v>5</v>
      </c>
      <c r="C12" s="68">
        <f>B12/1440</f>
        <v>0.003472222222222222</v>
      </c>
      <c r="D12" s="56">
        <f ca="1">VLOOKUP(RAND(),service,3)</f>
        <v>3</v>
      </c>
      <c r="E12" s="68">
        <f>D12/1440</f>
        <v>0.0020833333333333333</v>
      </c>
      <c r="F12" s="68">
        <f>IF(ISTEXT(F11),"",IF(F11+C12&gt;=close_time,"closed",F11+C12))</f>
        <v>0.3784722222222222</v>
      </c>
      <c r="G12" s="67">
        <f>COUNTIF($J$11:$J11,"&gt;"&amp;F12)</f>
        <v>0</v>
      </c>
      <c r="H12" s="67">
        <f aca="true" t="shared" si="0" ref="H12:H26">IF(G12&gt;=balk_num,"balk","")</f>
      </c>
      <c r="I12" s="68">
        <f>IF(OR(ISTEXT($F12),$H12="balk"),"",MAX(Simulation!H$11:H11,start_time,$F12))</f>
        <v>0.3784722222222222</v>
      </c>
      <c r="J12" s="68">
        <f aca="true" t="shared" si="1" ref="J12:J26">IF(ISTEXT(I12),"",MIN(I12:I12))</f>
        <v>0.3784722222222222</v>
      </c>
      <c r="K12" s="67">
        <f aca="true" t="shared" si="2" ref="K12:K26">IF(ISTEXT(I12),"",MATCH(J12,I12:I12,0))</f>
        <v>1</v>
      </c>
      <c r="L12" s="68">
        <f aca="true" t="shared" si="3" ref="L12:L26">IF(ISTEXT(I12),"",J12-F12)</f>
        <v>0</v>
      </c>
      <c r="M12" s="54">
        <f>IF(H12="balk","",E12)</f>
        <v>0.0020833333333333333</v>
      </c>
      <c r="O12" s="75">
        <f>IF(ISNUMBER(SMALL(Simulation!$G$12:Simulation!$H$26,1)),SMALL(Simulation!$G$12:Simulation!$H$26,1),1)</f>
        <v>0.3784722222222222</v>
      </c>
    </row>
    <row r="13" spans="1:15" ht="12.75">
      <c r="A13" s="67">
        <f>IF(ISTEXT(F13),"closed",A12+1)</f>
        <v>2</v>
      </c>
      <c r="B13" s="56">
        <f aca="true" ca="1" t="shared" si="4" ref="B13:B26">VLOOKUP(RAND(),arrival,3)</f>
        <v>1</v>
      </c>
      <c r="C13" s="68">
        <f aca="true" t="shared" si="5" ref="C13:C26">B13/1440</f>
        <v>0.0006944444444444445</v>
      </c>
      <c r="D13" s="56">
        <f aca="true" ca="1" t="shared" si="6" ref="D13:D26">VLOOKUP(RAND(),service,3)</f>
        <v>3</v>
      </c>
      <c r="E13" s="68">
        <f aca="true" t="shared" si="7" ref="E13:E26">D13/1440</f>
        <v>0.0020833333333333333</v>
      </c>
      <c r="F13" s="68">
        <f aca="true" t="shared" si="8" ref="F13:F26">IF(ISTEXT(F12),"",IF(F12+C13&gt;=close_time,"closed",F12+C13))</f>
        <v>0.37916666666666665</v>
      </c>
      <c r="G13" s="67">
        <f>COUNTIF($J$11:$J12,"&gt;"&amp;F13)</f>
        <v>0</v>
      </c>
      <c r="H13" s="67">
        <f t="shared" si="0"/>
      </c>
      <c r="I13" s="68">
        <f>IF(OR(ISTEXT($F13),$H13="balk"),"",MAX(Simulation!H$11:H12,start_time,$F13))</f>
        <v>0.38055555555555554</v>
      </c>
      <c r="J13" s="68">
        <f t="shared" si="1"/>
        <v>0.38055555555555554</v>
      </c>
      <c r="K13" s="67">
        <f t="shared" si="2"/>
        <v>1</v>
      </c>
      <c r="L13" s="68">
        <f t="shared" si="3"/>
        <v>0.001388888888888884</v>
      </c>
      <c r="M13" s="54">
        <f>IF(H13="balk","",E13)</f>
        <v>0.0020833333333333333</v>
      </c>
      <c r="O13" s="71">
        <f>IF(ISNUMBER(SMALL(Simulation!$G$12:Simulation!$H$26,2)),SMALL(Simulation!$G$12:Simulation!$H$26,2),1)</f>
        <v>0.38055555555555554</v>
      </c>
    </row>
    <row r="14" spans="1:15" ht="12.75">
      <c r="A14" s="67">
        <f aca="true" t="shared" si="9" ref="A14:A26">IF(ISTEXT(F14),"closed",A13+1)</f>
        <v>3</v>
      </c>
      <c r="B14" s="56">
        <f ca="1" t="shared" si="4"/>
        <v>1</v>
      </c>
      <c r="C14" s="68">
        <f t="shared" si="5"/>
        <v>0.0006944444444444445</v>
      </c>
      <c r="D14" s="56">
        <f ca="1" t="shared" si="6"/>
        <v>3</v>
      </c>
      <c r="E14" s="68">
        <f t="shared" si="7"/>
        <v>0.0020833333333333333</v>
      </c>
      <c r="F14" s="68">
        <f t="shared" si="8"/>
        <v>0.3798611111111111</v>
      </c>
      <c r="G14" s="67">
        <f>COUNTIF($J$11:$J13,"&gt;"&amp;F14)</f>
        <v>1</v>
      </c>
      <c r="H14" s="67">
        <f t="shared" si="0"/>
      </c>
      <c r="I14" s="68">
        <f>IF(OR(ISTEXT($F14),$H14="balk"),"",MAX(Simulation!H$11:H13,start_time,$F14))</f>
        <v>0.38263888888888886</v>
      </c>
      <c r="J14" s="68">
        <f t="shared" si="1"/>
        <v>0.38263888888888886</v>
      </c>
      <c r="K14" s="67">
        <f t="shared" si="2"/>
        <v>1</v>
      </c>
      <c r="L14" s="68">
        <f t="shared" si="3"/>
        <v>0.002777777777777768</v>
      </c>
      <c r="M14" s="54">
        <f>IF(H14="balk","",E14)</f>
        <v>0.0020833333333333333</v>
      </c>
      <c r="O14" s="71">
        <f>IF(ISNUMBER(SMALL(Simulation!$G$12:Simulation!$H$26,3)),SMALL(Simulation!$G$12:Simulation!$H$26,3),1)</f>
        <v>0.38055555555555554</v>
      </c>
    </row>
    <row r="15" spans="1:15" ht="12.75">
      <c r="A15" s="67">
        <f t="shared" si="9"/>
        <v>4</v>
      </c>
      <c r="B15" s="56">
        <f ca="1" t="shared" si="4"/>
        <v>1</v>
      </c>
      <c r="C15" s="68">
        <f t="shared" si="5"/>
        <v>0.0006944444444444445</v>
      </c>
      <c r="D15" s="56">
        <f ca="1" t="shared" si="6"/>
        <v>3</v>
      </c>
      <c r="E15" s="68">
        <f t="shared" si="7"/>
        <v>0.0020833333333333333</v>
      </c>
      <c r="F15" s="68">
        <f t="shared" si="8"/>
        <v>0.38055555555555554</v>
      </c>
      <c r="G15" s="67">
        <f>COUNTIF($J$11:$J14,"&gt;"&amp;F15)</f>
        <v>1</v>
      </c>
      <c r="H15" s="67">
        <f t="shared" si="0"/>
      </c>
      <c r="I15" s="68">
        <f>IF(OR(ISTEXT($F15),$H15="balk"),"",MAX(Simulation!H$11:H14,start_time,$F15))</f>
        <v>0.3847222222222222</v>
      </c>
      <c r="J15" s="68">
        <f t="shared" si="1"/>
        <v>0.3847222222222222</v>
      </c>
      <c r="K15" s="67">
        <f t="shared" si="2"/>
        <v>1</v>
      </c>
      <c r="L15" s="68">
        <f t="shared" si="3"/>
        <v>0.004166666666666652</v>
      </c>
      <c r="M15" s="54">
        <f>IF(H15="balk","",E15)</f>
        <v>0.0020833333333333333</v>
      </c>
      <c r="O15" s="71">
        <f>IF(ISNUMBER(SMALL(Simulation!$G$12:Simulation!$H$26,4)),SMALL(Simulation!$G$12:Simulation!$H$26,4),1)</f>
        <v>0.38263888888888886</v>
      </c>
    </row>
    <row r="16" spans="1:15" ht="12.75">
      <c r="A16" s="67">
        <f t="shared" si="9"/>
        <v>5</v>
      </c>
      <c r="B16" s="56">
        <f ca="1" t="shared" si="4"/>
        <v>1</v>
      </c>
      <c r="C16" s="68">
        <f t="shared" si="5"/>
        <v>0.0006944444444444445</v>
      </c>
      <c r="D16" s="56">
        <f ca="1" t="shared" si="6"/>
        <v>9</v>
      </c>
      <c r="E16" s="68">
        <f t="shared" si="7"/>
        <v>0.00625</v>
      </c>
      <c r="F16" s="68">
        <f t="shared" si="8"/>
        <v>0.38125</v>
      </c>
      <c r="G16" s="67">
        <f>COUNTIF($J$11:$J15,"&gt;"&amp;F16)</f>
        <v>2</v>
      </c>
      <c r="H16" s="67" t="str">
        <f t="shared" si="0"/>
        <v>balk</v>
      </c>
      <c r="I16" s="68">
        <f>IF(OR(ISTEXT($F16),$H16="balk"),"",MAX(Simulation!H$11:H15,start_time,$F16))</f>
      </c>
      <c r="J16" s="68">
        <f t="shared" si="1"/>
      </c>
      <c r="K16" s="67">
        <f t="shared" si="2"/>
      </c>
      <c r="L16" s="68">
        <f t="shared" si="3"/>
      </c>
      <c r="M16" s="54">
        <f>IF(H16="balk","",E16)</f>
      </c>
      <c r="O16" s="71">
        <f>IF(ISNUMBER(SMALL(Simulation!$G$12:Simulation!$H$26,5)),SMALL(Simulation!$G$12:Simulation!$H$26,5),1)</f>
        <v>0.38263888888888886</v>
      </c>
    </row>
    <row r="17" spans="1:15" ht="12.75">
      <c r="A17" s="67">
        <f t="shared" si="9"/>
        <v>6</v>
      </c>
      <c r="B17" s="56">
        <f ca="1" t="shared" si="4"/>
        <v>3</v>
      </c>
      <c r="C17" s="68">
        <f t="shared" si="5"/>
        <v>0.0020833333333333333</v>
      </c>
      <c r="D17" s="56">
        <f ca="1" t="shared" si="6"/>
        <v>6</v>
      </c>
      <c r="E17" s="68">
        <f t="shared" si="7"/>
        <v>0.004166666666666667</v>
      </c>
      <c r="F17" s="68">
        <f t="shared" si="8"/>
        <v>0.3833333333333333</v>
      </c>
      <c r="G17" s="67">
        <f>COUNTIF($J$11:$J16,"&gt;"&amp;F17)</f>
        <v>1</v>
      </c>
      <c r="H17" s="67">
        <f t="shared" si="0"/>
      </c>
      <c r="I17" s="68">
        <f>IF(OR(ISTEXT($F17),$H17="balk"),"",MAX(Simulation!H$11:H16,start_time,$F17))</f>
        <v>0.3868055555555555</v>
      </c>
      <c r="J17" s="68">
        <f t="shared" si="1"/>
        <v>0.3868055555555555</v>
      </c>
      <c r="K17" s="67">
        <f t="shared" si="2"/>
        <v>1</v>
      </c>
      <c r="L17" s="68">
        <f t="shared" si="3"/>
        <v>0.00347222222222221</v>
      </c>
      <c r="M17" s="54">
        <f>IF(H17="balk","",E17)</f>
        <v>0.004166666666666667</v>
      </c>
      <c r="O17" s="71">
        <f>IF(ISNUMBER(SMALL(Simulation!$G$12:Simulation!$H$26,6)),SMALL(Simulation!$G$12:Simulation!$H$26,6),1)</f>
        <v>0.3847222222222222</v>
      </c>
    </row>
    <row r="18" spans="1:15" ht="12.75">
      <c r="A18" s="67">
        <f t="shared" si="9"/>
        <v>7</v>
      </c>
      <c r="B18" s="56">
        <f ca="1" t="shared" si="4"/>
        <v>1</v>
      </c>
      <c r="C18" s="68">
        <f t="shared" si="5"/>
        <v>0.0006944444444444445</v>
      </c>
      <c r="D18" s="56">
        <f ca="1" t="shared" si="6"/>
        <v>3</v>
      </c>
      <c r="E18" s="68">
        <f t="shared" si="7"/>
        <v>0.0020833333333333333</v>
      </c>
      <c r="F18" s="68">
        <f t="shared" si="8"/>
        <v>0.38402777777777775</v>
      </c>
      <c r="G18" s="67">
        <f>COUNTIF($J$11:$J17,"&gt;"&amp;F18)</f>
        <v>2</v>
      </c>
      <c r="H18" s="67" t="str">
        <f t="shared" si="0"/>
        <v>balk</v>
      </c>
      <c r="I18" s="68">
        <f>IF(OR(ISTEXT($F18),$H18="balk"),"",MAX(Simulation!H$11:H17,start_time,$F18))</f>
      </c>
      <c r="J18" s="68">
        <f t="shared" si="1"/>
      </c>
      <c r="K18" s="67">
        <f t="shared" si="2"/>
      </c>
      <c r="L18" s="68">
        <f t="shared" si="3"/>
      </c>
      <c r="M18" s="54">
        <f>IF(H18="balk","",E18)</f>
      </c>
      <c r="O18" s="71">
        <f>IF(ISNUMBER(SMALL(Simulation!$G$12:Simulation!$H$26,7)),SMALL(Simulation!$G$12:Simulation!$H$26,7),1)</f>
        <v>0.3847222222222222</v>
      </c>
    </row>
    <row r="19" spans="1:15" ht="12.75">
      <c r="A19" s="67">
        <f t="shared" si="9"/>
        <v>8</v>
      </c>
      <c r="B19" s="56">
        <f ca="1" t="shared" si="4"/>
        <v>1</v>
      </c>
      <c r="C19" s="68">
        <f t="shared" si="5"/>
        <v>0.0006944444444444445</v>
      </c>
      <c r="D19" s="56">
        <f ca="1" t="shared" si="6"/>
        <v>9</v>
      </c>
      <c r="E19" s="68">
        <f t="shared" si="7"/>
        <v>0.00625</v>
      </c>
      <c r="F19" s="68">
        <f t="shared" si="8"/>
        <v>0.3847222222222222</v>
      </c>
      <c r="G19" s="67">
        <f>COUNTIF($J$11:$J18,"&gt;"&amp;F19)</f>
        <v>1</v>
      </c>
      <c r="H19" s="67">
        <f t="shared" si="0"/>
      </c>
      <c r="I19" s="68">
        <f>IF(OR(ISTEXT($F19),$H19="balk"),"",MAX(Simulation!H$11:H18,start_time,$F19))</f>
        <v>0.39097222222222217</v>
      </c>
      <c r="J19" s="68">
        <f t="shared" si="1"/>
        <v>0.39097222222222217</v>
      </c>
      <c r="K19" s="67">
        <f t="shared" si="2"/>
        <v>1</v>
      </c>
      <c r="L19" s="68">
        <f t="shared" si="3"/>
        <v>0.006249999999999978</v>
      </c>
      <c r="M19" s="54">
        <f>IF(H19="balk","",E19)</f>
        <v>0.00625</v>
      </c>
      <c r="O19" s="71">
        <f>IF(ISNUMBER(SMALL(Simulation!$G$12:Simulation!$H$26,8)),SMALL(Simulation!$G$12:Simulation!$H$26,8),1)</f>
        <v>0.3868055555555555</v>
      </c>
    </row>
    <row r="20" spans="1:15" ht="12.75">
      <c r="A20" s="67">
        <f t="shared" si="9"/>
        <v>9</v>
      </c>
      <c r="B20" s="56">
        <f ca="1" t="shared" si="4"/>
        <v>3</v>
      </c>
      <c r="C20" s="68">
        <f t="shared" si="5"/>
        <v>0.0020833333333333333</v>
      </c>
      <c r="D20" s="56">
        <f ca="1" t="shared" si="6"/>
        <v>9</v>
      </c>
      <c r="E20" s="68">
        <f t="shared" si="7"/>
        <v>0.00625</v>
      </c>
      <c r="F20" s="68">
        <f t="shared" si="8"/>
        <v>0.3868055555555555</v>
      </c>
      <c r="G20" s="67">
        <f>COUNTIF($J$11:$J19,"&gt;"&amp;F20)</f>
        <v>1</v>
      </c>
      <c r="H20" s="67">
        <f t="shared" si="0"/>
      </c>
      <c r="I20" s="68">
        <f>IF(OR(ISTEXT($F20),$H20="balk"),"",MAX(Simulation!H$11:H19,start_time,$F20))</f>
        <v>0.39722222222222214</v>
      </c>
      <c r="J20" s="68">
        <f t="shared" si="1"/>
        <v>0.39722222222222214</v>
      </c>
      <c r="K20" s="67">
        <f t="shared" si="2"/>
        <v>1</v>
      </c>
      <c r="L20" s="68">
        <f t="shared" si="3"/>
        <v>0.01041666666666663</v>
      </c>
      <c r="M20" s="54">
        <f>IF(H20="balk","",E20)</f>
        <v>0.00625</v>
      </c>
      <c r="O20" s="71">
        <f>IF(ISNUMBER(SMALL(Simulation!$G$12:Simulation!$H$26,9)),SMALL(Simulation!$G$12:Simulation!$H$26,9),1)</f>
        <v>0.3868055555555555</v>
      </c>
    </row>
    <row r="21" spans="1:15" ht="12.75">
      <c r="A21" s="67">
        <f t="shared" si="9"/>
        <v>10</v>
      </c>
      <c r="B21" s="56">
        <f ca="1" t="shared" si="4"/>
        <v>10</v>
      </c>
      <c r="C21" s="68">
        <f t="shared" si="5"/>
        <v>0.006944444444444444</v>
      </c>
      <c r="D21" s="56">
        <f ca="1" t="shared" si="6"/>
        <v>3</v>
      </c>
      <c r="E21" s="68">
        <f t="shared" si="7"/>
        <v>0.0020833333333333333</v>
      </c>
      <c r="F21" s="68">
        <f t="shared" si="8"/>
        <v>0.39374999999999993</v>
      </c>
      <c r="G21" s="67">
        <f>COUNTIF($J$11:$J20,"&gt;"&amp;F21)</f>
        <v>1</v>
      </c>
      <c r="H21" s="67">
        <f t="shared" si="0"/>
      </c>
      <c r="I21" s="68">
        <f>IF(OR(ISTEXT($F21),$H21="balk"),"",MAX(Simulation!H$11:H20,start_time,$F21))</f>
        <v>0.4034722222222221</v>
      </c>
      <c r="J21" s="68">
        <f t="shared" si="1"/>
        <v>0.4034722222222221</v>
      </c>
      <c r="K21" s="67">
        <f t="shared" si="2"/>
        <v>1</v>
      </c>
      <c r="L21" s="68">
        <f t="shared" si="3"/>
        <v>0.009722222222222188</v>
      </c>
      <c r="M21" s="54">
        <f>IF(H21="balk","",E21)</f>
        <v>0.0020833333333333333</v>
      </c>
      <c r="O21" s="71">
        <f>IF(ISNUMBER(SMALL(Simulation!$G$12:Simulation!$H$26,10)),SMALL(Simulation!$G$12:Simulation!$H$26,10),1)</f>
        <v>0.39097222222222217</v>
      </c>
    </row>
    <row r="22" spans="1:15" ht="12.75">
      <c r="A22" s="67">
        <f t="shared" si="9"/>
        <v>11</v>
      </c>
      <c r="B22" s="56">
        <f ca="1" t="shared" si="4"/>
        <v>10</v>
      </c>
      <c r="C22" s="68">
        <f t="shared" si="5"/>
        <v>0.006944444444444444</v>
      </c>
      <c r="D22" s="56">
        <f ca="1" t="shared" si="6"/>
        <v>9</v>
      </c>
      <c r="E22" s="68">
        <f t="shared" si="7"/>
        <v>0.00625</v>
      </c>
      <c r="F22" s="68">
        <f t="shared" si="8"/>
        <v>0.40069444444444435</v>
      </c>
      <c r="G22" s="67">
        <f>COUNTIF($J$11:$J21,"&gt;"&amp;F22)</f>
        <v>1</v>
      </c>
      <c r="H22" s="67">
        <f t="shared" si="0"/>
      </c>
      <c r="I22" s="68">
        <f>IF(OR(ISTEXT($F22),$H22="balk"),"",MAX(Simulation!H$11:H21,start_time,$F22))</f>
        <v>0.40555555555555545</v>
      </c>
      <c r="J22" s="68">
        <f t="shared" si="1"/>
        <v>0.40555555555555545</v>
      </c>
      <c r="K22" s="67">
        <f t="shared" si="2"/>
        <v>1</v>
      </c>
      <c r="L22" s="68">
        <f t="shared" si="3"/>
        <v>0.004861111111111094</v>
      </c>
      <c r="M22" s="54">
        <f>IF(H22="balk","",E22)</f>
        <v>0.00625</v>
      </c>
      <c r="O22" s="71">
        <f>IF(ISNUMBER(SMALL(Simulation!$G$12:Simulation!$H$26,11)),SMALL(Simulation!$G$12:Simulation!$H$26,11),1)</f>
        <v>0.39097222222222217</v>
      </c>
    </row>
    <row r="23" spans="1:15" ht="12.75">
      <c r="A23" s="67">
        <f t="shared" si="9"/>
        <v>12</v>
      </c>
      <c r="B23" s="56">
        <f ca="1" t="shared" si="4"/>
        <v>1</v>
      </c>
      <c r="C23" s="68">
        <f t="shared" si="5"/>
        <v>0.0006944444444444445</v>
      </c>
      <c r="D23" s="56">
        <f ca="1" t="shared" si="6"/>
        <v>9</v>
      </c>
      <c r="E23" s="68">
        <f t="shared" si="7"/>
        <v>0.00625</v>
      </c>
      <c r="F23" s="68">
        <f t="shared" si="8"/>
        <v>0.4013888888888888</v>
      </c>
      <c r="G23" s="67">
        <f>COUNTIF($J$11:$J22,"&gt;"&amp;F23)</f>
        <v>2</v>
      </c>
      <c r="H23" s="67" t="str">
        <f t="shared" si="0"/>
        <v>balk</v>
      </c>
      <c r="I23" s="68">
        <f>IF(OR(ISTEXT($F23),$H23="balk"),"",MAX(Simulation!H$11:H22,start_time,$F23))</f>
      </c>
      <c r="J23" s="68">
        <f t="shared" si="1"/>
      </c>
      <c r="K23" s="67">
        <f t="shared" si="2"/>
      </c>
      <c r="L23" s="68">
        <f t="shared" si="3"/>
      </c>
      <c r="M23" s="54">
        <f>IF(H23="balk","",E23)</f>
      </c>
      <c r="O23" s="71">
        <f>IF(ISNUMBER(SMALL(Simulation!$G$12:Simulation!$H$26,12)),SMALL(Simulation!$G$12:Simulation!$H$26,12),1)</f>
        <v>0.39722222222222214</v>
      </c>
    </row>
    <row r="24" spans="1:15" ht="12.75">
      <c r="A24" s="67">
        <f t="shared" si="9"/>
        <v>13</v>
      </c>
      <c r="B24" s="56">
        <f ca="1" t="shared" si="4"/>
        <v>3</v>
      </c>
      <c r="C24" s="68">
        <f t="shared" si="5"/>
        <v>0.0020833333333333333</v>
      </c>
      <c r="D24" s="56">
        <f ca="1" t="shared" si="6"/>
        <v>9</v>
      </c>
      <c r="E24" s="68">
        <f t="shared" si="7"/>
        <v>0.00625</v>
      </c>
      <c r="F24" s="68">
        <f t="shared" si="8"/>
        <v>0.4034722222222221</v>
      </c>
      <c r="G24" s="67">
        <f>COUNTIF($J$11:$J23,"&gt;"&amp;F24)</f>
        <v>1</v>
      </c>
      <c r="H24" s="67">
        <f t="shared" si="0"/>
      </c>
      <c r="I24" s="68">
        <f>IF(OR(ISTEXT($F24),$H24="balk"),"",MAX(Simulation!H$11:H23,start_time,$F24))</f>
        <v>0.4118055555555554</v>
      </c>
      <c r="J24" s="68">
        <f t="shared" si="1"/>
        <v>0.4118055555555554</v>
      </c>
      <c r="K24" s="67">
        <f t="shared" si="2"/>
        <v>1</v>
      </c>
      <c r="L24" s="68">
        <f t="shared" si="3"/>
        <v>0.008333333333333304</v>
      </c>
      <c r="M24" s="54">
        <f>IF(H24="balk","",E24)</f>
        <v>0.00625</v>
      </c>
      <c r="O24" s="71">
        <f>IF(ISNUMBER(SMALL(Simulation!$G$12:Simulation!$H$26,13)),SMALL(Simulation!$G$12:Simulation!$H$26,13),1)</f>
        <v>0.39722222222222214</v>
      </c>
    </row>
    <row r="25" spans="1:15" ht="12.75">
      <c r="A25" s="67">
        <f t="shared" si="9"/>
        <v>14</v>
      </c>
      <c r="B25" s="56">
        <f ca="1" t="shared" si="4"/>
        <v>1</v>
      </c>
      <c r="C25" s="68">
        <f t="shared" si="5"/>
        <v>0.0006944444444444445</v>
      </c>
      <c r="D25" s="56">
        <f ca="1" t="shared" si="6"/>
        <v>6</v>
      </c>
      <c r="E25" s="68">
        <f t="shared" si="7"/>
        <v>0.004166666666666667</v>
      </c>
      <c r="F25" s="68">
        <f t="shared" si="8"/>
        <v>0.40416666666666656</v>
      </c>
      <c r="G25" s="67">
        <f>COUNTIF($J$11:$J24,"&gt;"&amp;F25)</f>
        <v>2</v>
      </c>
      <c r="H25" s="67" t="str">
        <f t="shared" si="0"/>
        <v>balk</v>
      </c>
      <c r="I25" s="68">
        <f>IF(OR(ISTEXT($F25),$H25="balk"),"",MAX(Simulation!H$11:H24,start_time,$F25))</f>
      </c>
      <c r="J25" s="68">
        <f t="shared" si="1"/>
      </c>
      <c r="K25" s="67">
        <f t="shared" si="2"/>
      </c>
      <c r="L25" s="68">
        <f t="shared" si="3"/>
      </c>
      <c r="M25" s="54">
        <f>IF(H25="balk","",E25)</f>
      </c>
      <c r="O25" s="71">
        <f>IF(ISNUMBER(SMALL(Simulation!$G$12:Simulation!$H$26,14)),SMALL(Simulation!$G$12:Simulation!$H$26,14),1)</f>
        <v>0.4034722222222221</v>
      </c>
    </row>
    <row r="26" spans="1:15" ht="12.75">
      <c r="A26" s="67">
        <f t="shared" si="9"/>
        <v>15</v>
      </c>
      <c r="B26" s="56">
        <f ca="1" t="shared" si="4"/>
        <v>5</v>
      </c>
      <c r="C26" s="68">
        <f t="shared" si="5"/>
        <v>0.003472222222222222</v>
      </c>
      <c r="D26" s="56">
        <f ca="1" t="shared" si="6"/>
        <v>9</v>
      </c>
      <c r="E26" s="68">
        <f t="shared" si="7"/>
        <v>0.00625</v>
      </c>
      <c r="F26" s="68">
        <f t="shared" si="8"/>
        <v>0.4076388888888888</v>
      </c>
      <c r="G26" s="67">
        <f>COUNTIF($J$11:$J25,"&gt;"&amp;F26)</f>
        <v>1</v>
      </c>
      <c r="H26" s="67">
        <f t="shared" si="0"/>
      </c>
      <c r="I26" s="68">
        <f>IF(OR(ISTEXT($F26),$H26="balk"),"",MAX(Simulation!H$11:H25,start_time,$F26))</f>
        <v>0.4180555555555554</v>
      </c>
      <c r="J26" s="68">
        <f t="shared" si="1"/>
        <v>0.4180555555555554</v>
      </c>
      <c r="K26" s="67">
        <f t="shared" si="2"/>
        <v>1</v>
      </c>
      <c r="L26" s="68">
        <f t="shared" si="3"/>
        <v>0.01041666666666663</v>
      </c>
      <c r="M26" s="54">
        <f>IF(H26="balk","",E26)</f>
        <v>0.00625</v>
      </c>
      <c r="O26" s="71">
        <f>IF(ISNUMBER(SMALL(Simulation!$G$12:Simulation!$H$26,15)),SMALL(Simulation!$G$12:Simulation!$H$26,15),1)</f>
        <v>0.4034722222222221</v>
      </c>
    </row>
    <row r="27" ht="12.75">
      <c r="O27" s="71">
        <f>IF(ISNUMBER(SMALL(Simulation!$G$12:Simulation!$H$26,16)),SMALL(Simulation!$G$12:Simulation!$H$26,16),1)</f>
        <v>0.40555555555555545</v>
      </c>
    </row>
    <row r="28" spans="6:15" ht="12.75">
      <c r="F28" s="58"/>
      <c r="G28" s="59"/>
      <c r="I28" s="54"/>
      <c r="J28" s="60"/>
      <c r="O28" s="71">
        <f>IF(ISNUMBER(SMALL(Simulation!$G$12:Simulation!$H$26,17)),SMALL(Simulation!$G$12:Simulation!$H$26,17),1)</f>
        <v>0.40555555555555545</v>
      </c>
    </row>
    <row r="29" ht="12.75">
      <c r="O29" s="71">
        <f>IF(ISNUMBER(SMALL(Simulation!$G$12:Simulation!$H$26,18)),SMALL(Simulation!$G$12:Simulation!$H$26,18),1)</f>
        <v>0.4118055555555554</v>
      </c>
    </row>
    <row r="30" spans="9:15" ht="12.75">
      <c r="I30" s="61"/>
      <c r="O30" s="71">
        <f>IF(ISNUMBER(SMALL(Simulation!$G$12:Simulation!$H$26,19)),SMALL(Simulation!$G$12:Simulation!$H$26,19),1)</f>
        <v>0.4118055555555554</v>
      </c>
    </row>
    <row r="31" ht="12.75">
      <c r="O31" s="71">
        <f>IF(ISNUMBER(SMALL(Simulation!$G$12:Simulation!$H$26,20)),SMALL(Simulation!$G$12:Simulation!$H$26,20),1)</f>
        <v>0.4180555555555554</v>
      </c>
    </row>
    <row r="32" spans="3:15" ht="12.75">
      <c r="C32" s="42"/>
      <c r="D32" s="62"/>
      <c r="O32" s="71">
        <f>IF(ISNUMBER(SMALL(Simulation!$G$12:Simulation!$H$26,21)),SMALL(Simulation!$G$12:Simulation!$H$26,21),1)</f>
        <v>0.4180555555555554</v>
      </c>
    </row>
    <row r="33" spans="3:15" ht="12.75">
      <c r="C33" s="42"/>
      <c r="D33" s="62"/>
      <c r="O33" s="71">
        <f>IF(ISNUMBER(SMALL(Simulation!$G$12:Simulation!$H$26,22)),SMALL(Simulation!$G$12:Simulation!$H$26,22),1)</f>
        <v>0.4243055555555554</v>
      </c>
    </row>
    <row r="34" spans="3:15" ht="12.75">
      <c r="C34" s="42"/>
      <c r="D34" s="62"/>
      <c r="O34" s="71">
        <f>IF(ISNUMBER(SMALL(Simulation!$G$12:Simulation!$H$26,23)),SMALL(Simulation!$G$12:Simulation!$H$26,23),1)</f>
        <v>1</v>
      </c>
    </row>
    <row r="35" spans="3:15" ht="12.75">
      <c r="C35" s="42"/>
      <c r="D35" s="62"/>
      <c r="O35" s="71">
        <f>IF(ISNUMBER(SMALL(Simulation!$G$12:Simulation!$H$26,24)),SMALL(Simulation!$G$12:Simulation!$H$26,24),1)</f>
        <v>1</v>
      </c>
    </row>
    <row r="36" spans="3:15" ht="12.75">
      <c r="C36" s="42"/>
      <c r="D36" s="62"/>
      <c r="O36" s="71">
        <f>IF(ISNUMBER(SMALL(Simulation!$G$12:Simulation!$H$26,25)),SMALL(Simulation!$G$12:Simulation!$H$26,25),1)</f>
        <v>1</v>
      </c>
    </row>
    <row r="37" ht="12.75">
      <c r="O37" s="71">
        <f>IF(ISNUMBER(SMALL(Simulation!$G$12:Simulation!$H$26,26)),SMALL(Simulation!$G$12:Simulation!$H$26,26),1)</f>
        <v>1</v>
      </c>
    </row>
    <row r="38" ht="12.75">
      <c r="O38" s="71">
        <f>IF(ISNUMBER(SMALL(Simulation!$G$12:Simulation!$H$26,27)),SMALL(Simulation!$G$12:Simulation!$H$26,27),1)</f>
        <v>1</v>
      </c>
    </row>
    <row r="39" ht="12.75">
      <c r="O39" s="71">
        <f>IF(ISNUMBER(SMALL(Simulation!$G$12:Simulation!$H$26,28)),SMALL(Simulation!$G$12:Simulation!$H$26,28),1)</f>
        <v>1</v>
      </c>
    </row>
    <row r="40" ht="12.75">
      <c r="O40" s="71">
        <f>IF(ISNUMBER(SMALL(Simulation!$G$12:Simulation!$H$26,29)),SMALL(Simulation!$G$12:Simulation!$H$26,29),1)</f>
        <v>1</v>
      </c>
    </row>
    <row r="41" ht="12.75">
      <c r="O41" s="71">
        <f>IF(ISNUMBER(SMALL(Simulation!$G$12:Simulation!$H$26,30)),SMALL(Simulation!$G$12:Simulation!$H$26,30),1)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43" t="s">
        <v>72</v>
      </c>
    </row>
    <row r="2" ht="15.75">
      <c r="A2" s="1" t="s">
        <v>41</v>
      </c>
    </row>
    <row r="3" ht="12.75" customHeight="1">
      <c r="B3" s="44" t="s">
        <v>42</v>
      </c>
    </row>
    <row r="4" ht="12.75" customHeight="1">
      <c r="B4" s="44"/>
    </row>
    <row r="5" ht="12.75">
      <c r="A5" s="45" t="s">
        <v>43</v>
      </c>
    </row>
    <row r="6" ht="12.75">
      <c r="A6" t="s">
        <v>44</v>
      </c>
    </row>
    <row r="7" ht="12.75">
      <c r="A7" t="s">
        <v>45</v>
      </c>
    </row>
    <row r="8" ht="12.75">
      <c r="A8" t="s">
        <v>46</v>
      </c>
    </row>
    <row r="10" ht="12.75">
      <c r="A10" s="45" t="s">
        <v>47</v>
      </c>
    </row>
    <row r="11" ht="12.75">
      <c r="A11" t="s">
        <v>48</v>
      </c>
    </row>
    <row r="12" ht="12.75">
      <c r="A12" t="s">
        <v>73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74</v>
      </c>
    </row>
    <row r="19" ht="12.75">
      <c r="A19" t="s">
        <v>75</v>
      </c>
    </row>
    <row r="20" ht="12.75">
      <c r="A20" t="s">
        <v>54</v>
      </c>
    </row>
    <row r="22" ht="12.75">
      <c r="A22" s="45" t="s">
        <v>55</v>
      </c>
    </row>
    <row r="23" ht="12.75">
      <c r="A23" t="s">
        <v>76</v>
      </c>
    </row>
    <row r="24" ht="12.75">
      <c r="A24" t="s">
        <v>77</v>
      </c>
    </row>
    <row r="25" ht="12.75">
      <c r="A25" t="s">
        <v>73</v>
      </c>
    </row>
    <row r="26" ht="12.75">
      <c r="A26" t="s">
        <v>56</v>
      </c>
    </row>
    <row r="27" ht="12.75">
      <c r="A27" t="s">
        <v>57</v>
      </c>
    </row>
    <row r="29" ht="12.75">
      <c r="A29" s="45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4" ht="12.75">
      <c r="A34" s="45" t="s">
        <v>62</v>
      </c>
    </row>
    <row r="35" ht="12.75">
      <c r="A35" t="s">
        <v>78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79</v>
      </c>
    </row>
    <row r="40" ht="12.75">
      <c r="A40" t="s">
        <v>80</v>
      </c>
    </row>
    <row r="41" ht="12.75">
      <c r="A41" t="s">
        <v>81</v>
      </c>
    </row>
    <row r="43" ht="12.75">
      <c r="A43" s="45" t="s">
        <v>66</v>
      </c>
    </row>
    <row r="44" ht="12.75">
      <c r="A44" t="s">
        <v>82</v>
      </c>
    </row>
    <row r="45" ht="12.75">
      <c r="A45" t="s">
        <v>67</v>
      </c>
    </row>
    <row r="46" ht="12.75">
      <c r="A46" t="s">
        <v>68</v>
      </c>
    </row>
    <row r="47" ht="12.75">
      <c r="A47" t="s">
        <v>69</v>
      </c>
    </row>
    <row r="48" ht="12.75">
      <c r="A48" t="s">
        <v>70</v>
      </c>
    </row>
    <row r="50" ht="12.75">
      <c r="A50" s="45" t="s">
        <v>71</v>
      </c>
    </row>
    <row r="51" ht="12.75">
      <c r="A51" t="s">
        <v>83</v>
      </c>
    </row>
    <row r="52" ht="12.75">
      <c r="A52" t="s">
        <v>84</v>
      </c>
    </row>
    <row r="54" ht="12.75">
      <c r="A54" s="73" t="s">
        <v>85</v>
      </c>
    </row>
    <row r="55" ht="12.75">
      <c r="A55" t="s">
        <v>86</v>
      </c>
    </row>
    <row r="56" ht="12.75">
      <c r="A56" t="s">
        <v>87</v>
      </c>
    </row>
    <row r="57" ht="12.75">
      <c r="A57" t="s">
        <v>88</v>
      </c>
    </row>
    <row r="58" ht="12.75">
      <c r="A58" t="s">
        <v>89</v>
      </c>
    </row>
    <row r="60" ht="12.75">
      <c r="A60" s="46" t="s">
        <v>90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2001-03-14T03:14:07Z</dcterms:created>
  <dcterms:modified xsi:type="dcterms:W3CDTF">2001-09-17T15:18:52Z</dcterms:modified>
  <cp:category/>
  <cp:version/>
  <cp:contentType/>
  <cp:contentStatus/>
</cp:coreProperties>
</file>